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. Mark\1. Squash\2. NSWMSA\Match Calculator\"/>
    </mc:Choice>
  </mc:AlternateContent>
  <xr:revisionPtr revIDLastSave="0" documentId="13_ncr:1_{1696A21D-CBA5-4332-80CD-AF1F3B71E4EE}" xr6:coauthVersionLast="47" xr6:coauthVersionMax="47" xr10:uidLastSave="{00000000-0000-0000-0000-000000000000}"/>
  <bookViews>
    <workbookView xWindow="-110" yWindow="-110" windowWidth="19420" windowHeight="10560" firstSheet="1" activeTab="1" xr2:uid="{71D840DB-2B73-43FF-BDFB-15CCE9118410}"/>
  </bookViews>
  <sheets>
    <sheet name="Individuals Week" sheetId="2" state="hidden" r:id="rId1"/>
    <sheet name="Weekend Multi Centre" sheetId="4" r:id="rId2"/>
    <sheet name="Week Event One Centre" sheetId="3" r:id="rId3"/>
    <sheet name="Week Event Multi Centre" sheetId="5" r:id="rId4"/>
  </sheets>
  <definedNames>
    <definedName name="Division_3PP" localSheetId="1">#REF!</definedName>
    <definedName name="Division_3PP">#REF!</definedName>
    <definedName name="Division_4PP" localSheetId="1">#REF!</definedName>
    <definedName name="Division_4PP">#REF!</definedName>
    <definedName name="Time_4PP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4" l="1"/>
  <c r="B34" i="5"/>
  <c r="B35" i="5"/>
  <c r="B33" i="5"/>
  <c r="B23" i="4"/>
  <c r="B24" i="4"/>
  <c r="B22" i="4"/>
  <c r="B11" i="4"/>
  <c r="C7" i="4"/>
  <c r="C11" i="4" s="1"/>
  <c r="F9" i="4"/>
  <c r="F13" i="4"/>
  <c r="E35" i="5"/>
  <c r="E34" i="5"/>
  <c r="E23" i="5"/>
  <c r="E24" i="5"/>
  <c r="E25" i="5"/>
  <c r="E26" i="5"/>
  <c r="E27" i="5"/>
  <c r="L23" i="5"/>
  <c r="I23" i="5"/>
  <c r="F23" i="5"/>
  <c r="K28" i="5"/>
  <c r="K27" i="5"/>
  <c r="K26" i="5"/>
  <c r="H28" i="5"/>
  <c r="H27" i="5"/>
  <c r="H26" i="5"/>
  <c r="E28" i="5"/>
  <c r="C11" i="5"/>
  <c r="B11" i="5"/>
  <c r="F15" i="4"/>
  <c r="L15" i="4"/>
  <c r="I15" i="4"/>
  <c r="H24" i="5"/>
  <c r="K23" i="5"/>
  <c r="H23" i="5"/>
  <c r="I9" i="5"/>
  <c r="K25" i="5" s="1"/>
  <c r="B18" i="5"/>
  <c r="H2" i="4"/>
  <c r="E2" i="4"/>
  <c r="E2" i="5"/>
  <c r="H2" i="5"/>
  <c r="K2" i="5"/>
  <c r="L21" i="5"/>
  <c r="I21" i="5"/>
  <c r="F21" i="5"/>
  <c r="L17" i="5"/>
  <c r="I17" i="5"/>
  <c r="F17" i="5"/>
  <c r="L13" i="5"/>
  <c r="I13" i="5"/>
  <c r="F13" i="5"/>
  <c r="L9" i="5"/>
  <c r="F9" i="5"/>
  <c r="K24" i="5" s="1"/>
  <c r="F5" i="5"/>
  <c r="I5" i="5"/>
  <c r="L5" i="5"/>
  <c r="B4" i="5"/>
  <c r="B4" i="3"/>
  <c r="B15" i="3"/>
  <c r="T4" i="5"/>
  <c r="T5" i="5" s="1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62" i="5" s="1"/>
  <c r="T63" i="5" s="1"/>
  <c r="S4" i="5"/>
  <c r="S5" i="5" s="1"/>
  <c r="S6" i="5" s="1"/>
  <c r="S7" i="5" s="1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R4" i="5"/>
  <c r="R5" i="5" s="1"/>
  <c r="R6" i="5" s="1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Q4" i="5"/>
  <c r="Q5" i="5" s="1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P4" i="5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L28" i="5" l="1"/>
  <c r="F30" i="5"/>
  <c r="E33" i="5" s="1"/>
  <c r="F28" i="5"/>
  <c r="L30" i="5"/>
  <c r="I30" i="5"/>
  <c r="H25" i="5"/>
  <c r="I28" i="5"/>
  <c r="I26" i="5"/>
  <c r="I24" i="5"/>
  <c r="I25" i="5"/>
  <c r="I27" i="5"/>
  <c r="L24" i="5"/>
  <c r="L25" i="5"/>
  <c r="L26" i="5"/>
  <c r="L27" i="5"/>
  <c r="F25" i="5"/>
  <c r="F24" i="5"/>
  <c r="F26" i="5"/>
  <c r="F27" i="5"/>
  <c r="B16" i="5"/>
  <c r="B15" i="5"/>
  <c r="B14" i="5"/>
  <c r="B13" i="5"/>
  <c r="B12" i="5"/>
  <c r="C16" i="5" l="1"/>
  <c r="I29" i="5"/>
  <c r="H29" i="5" s="1"/>
  <c r="C14" i="5"/>
  <c r="C15" i="5"/>
  <c r="C13" i="5"/>
  <c r="C12" i="5"/>
  <c r="L29" i="5"/>
  <c r="F29" i="5"/>
  <c r="E29" i="5" s="1"/>
  <c r="H30" i="5" l="1"/>
  <c r="E36" i="5"/>
  <c r="C17" i="5"/>
  <c r="C18" i="5" s="1"/>
  <c r="E30" i="5"/>
  <c r="K30" i="5"/>
  <c r="B17" i="5" l="1"/>
  <c r="K29" i="5"/>
  <c r="K18" i="4" l="1"/>
  <c r="K17" i="4"/>
  <c r="K16" i="4"/>
  <c r="H18" i="4"/>
  <c r="H17" i="4"/>
  <c r="E18" i="4"/>
  <c r="E17" i="4"/>
  <c r="E16" i="4"/>
  <c r="H16" i="4"/>
  <c r="L13" i="4"/>
  <c r="L18" i="4" s="1"/>
  <c r="L9" i="4"/>
  <c r="L5" i="4"/>
  <c r="I13" i="4"/>
  <c r="I9" i="4"/>
  <c r="I5" i="4"/>
  <c r="F18" i="4"/>
  <c r="F17" i="4"/>
  <c r="F5" i="4"/>
  <c r="K15" i="4"/>
  <c r="H15" i="4"/>
  <c r="E15" i="4"/>
  <c r="P4" i="4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P60" i="4" s="1"/>
  <c r="P61" i="4" s="1"/>
  <c r="P62" i="4" s="1"/>
  <c r="P63" i="4" s="1"/>
  <c r="O4" i="4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N5" i="4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K2" i="4"/>
  <c r="F20" i="4" l="1"/>
  <c r="E22" i="4" s="1"/>
  <c r="F16" i="4"/>
  <c r="L20" i="4"/>
  <c r="E24" i="4" s="1"/>
  <c r="I18" i="4"/>
  <c r="C14" i="4" s="1"/>
  <c r="I20" i="4"/>
  <c r="E23" i="4" s="1"/>
  <c r="B14" i="4"/>
  <c r="B12" i="4"/>
  <c r="B13" i="4"/>
  <c r="I16" i="4"/>
  <c r="I17" i="4"/>
  <c r="L16" i="4"/>
  <c r="L17" i="4"/>
  <c r="C12" i="4" l="1"/>
  <c r="C13" i="4"/>
  <c r="F19" i="4"/>
  <c r="L19" i="4"/>
  <c r="K19" i="4" s="1"/>
  <c r="I19" i="4"/>
  <c r="H20" i="4" s="1"/>
  <c r="E25" i="4"/>
  <c r="C15" i="4" l="1"/>
  <c r="C16" i="4" s="1"/>
  <c r="K20" i="4"/>
  <c r="H19" i="4"/>
  <c r="E19" i="4"/>
  <c r="E20" i="4"/>
  <c r="C8" i="3" l="1"/>
  <c r="B8" i="3"/>
  <c r="F16" i="2"/>
  <c r="B13" i="3"/>
  <c r="B12" i="3"/>
  <c r="B11" i="3"/>
  <c r="B10" i="3"/>
  <c r="B9" i="3"/>
  <c r="B11" i="2"/>
  <c r="B10" i="2"/>
  <c r="B9" i="2"/>
  <c r="B8" i="2"/>
  <c r="B7" i="2"/>
  <c r="C6" i="2" l="1"/>
  <c r="F20" i="3" l="1"/>
  <c r="C13" i="3" s="1"/>
  <c r="F16" i="3"/>
  <c r="F12" i="3"/>
  <c r="F8" i="3"/>
  <c r="L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K5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F4" i="3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F20" i="2"/>
  <c r="F12" i="2"/>
  <c r="F8" i="2"/>
  <c r="B6" i="2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F4" i="2"/>
  <c r="J22" i="3" l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K22" i="3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I22" i="3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H22" i="3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C9" i="3"/>
  <c r="E23" i="3"/>
  <c r="E24" i="3" s="1"/>
  <c r="L20" i="3"/>
  <c r="L21" i="3" s="1"/>
  <c r="C10" i="3"/>
  <c r="C11" i="3"/>
  <c r="C12" i="3"/>
  <c r="C11" i="2"/>
  <c r="C7" i="2"/>
  <c r="C8" i="2"/>
  <c r="C9" i="2"/>
  <c r="C10" i="2"/>
  <c r="L22" i="3" l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C14" i="3"/>
  <c r="C15" i="3" s="1"/>
  <c r="C12" i="2"/>
  <c r="B12" i="2" s="1"/>
  <c r="B14" i="3" l="1"/>
  <c r="C13" i="2"/>
</calcChain>
</file>

<file path=xl/sharedStrings.xml><?xml version="1.0" encoding="utf-8"?>
<sst xmlns="http://schemas.openxmlformats.org/spreadsheetml/2006/main" count="176" uniqueCount="45">
  <si>
    <t>Hours Sat</t>
  </si>
  <si>
    <t>Hours Sun</t>
  </si>
  <si>
    <t>Match Length</t>
  </si>
  <si>
    <t>Start Time Sun</t>
  </si>
  <si>
    <t>Finish Time Sat</t>
  </si>
  <si>
    <t>Finish Time Sun</t>
  </si>
  <si>
    <t>Length of matches (mins)</t>
  </si>
  <si>
    <t>No. courts</t>
  </si>
  <si>
    <t>Start Time Sat</t>
  </si>
  <si>
    <t>Start Time Fri</t>
  </si>
  <si>
    <t>Finish Time Fri</t>
  </si>
  <si>
    <t>Hours Fri</t>
  </si>
  <si>
    <t>No. hours of play</t>
  </si>
  <si>
    <t>No. matches per player for w/e</t>
  </si>
  <si>
    <t>Max. no. Entries</t>
  </si>
  <si>
    <t>No. Courts</t>
  </si>
  <si>
    <t>No. Matches</t>
  </si>
  <si>
    <t>Start Time Mon</t>
  </si>
  <si>
    <t>Finish Time Mon</t>
  </si>
  <si>
    <t>Start Time Tues</t>
  </si>
  <si>
    <t>Finish Time Tues</t>
  </si>
  <si>
    <t>Start Time Wed</t>
  </si>
  <si>
    <t>Finish Time Wed</t>
  </si>
  <si>
    <t>Start Time Thurs</t>
  </si>
  <si>
    <t>Finish Time Thurs</t>
  </si>
  <si>
    <t>Hours Wed</t>
  </si>
  <si>
    <t>Hours Thurs</t>
  </si>
  <si>
    <t>Hours Mon</t>
  </si>
  <si>
    <t>Hours Tues</t>
  </si>
  <si>
    <t>No. matches per player for week</t>
  </si>
  <si>
    <t>Squash Centres</t>
  </si>
  <si>
    <t>Court Hire</t>
  </si>
  <si>
    <t>Total no. Matches for w/e</t>
  </si>
  <si>
    <t>Gerringong</t>
  </si>
  <si>
    <t>North Nowra</t>
  </si>
  <si>
    <t>Dgen</t>
  </si>
  <si>
    <t>Total Court Hire Cost for w/e</t>
  </si>
  <si>
    <t>Total</t>
  </si>
  <si>
    <t>Type of Event</t>
  </si>
  <si>
    <t>Event</t>
  </si>
  <si>
    <t>Individuals</t>
  </si>
  <si>
    <t>Teams</t>
  </si>
  <si>
    <t>Hourly Court Hire Fees</t>
  </si>
  <si>
    <t>Total Court Hire Cost for the  Week</t>
  </si>
  <si>
    <t>Bomaderry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</si>
</sst>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h:mm\ AM/PM"/>
    <numFmt numFmtId="165" formatCode="0.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19" fontId="3" fillId="3" borderId="2" xfId="0" quotePrefix="1" applyNumberFormat="1" applyFont="1" applyFill="1" applyBorder="1" applyAlignment="1">
      <alignment horizontal="center"/>
    </xf>
    <xf numFmtId="19" fontId="3" fillId="3" borderId="2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" fontId="4" fillId="2" borderId="3" xfId="0" applyNumberFormat="1" applyFont="1" applyFill="1" applyBorder="1" applyAlignment="1">
      <alignment horizontal="center"/>
    </xf>
    <xf numFmtId="0" fontId="4" fillId="2" borderId="0" xfId="0" applyFont="1" applyFill="1"/>
    <xf numFmtId="164" fontId="0" fillId="4" borderId="5" xfId="0" applyNumberFormat="1" applyFill="1" applyBorder="1" applyAlignment="1" applyProtection="1">
      <alignment horizontal="left" indent="1"/>
      <protection locked="0"/>
    </xf>
    <xf numFmtId="164" fontId="0" fillId="4" borderId="6" xfId="0" applyNumberFormat="1" applyFill="1" applyBorder="1" applyAlignment="1" applyProtection="1">
      <alignment horizontal="left" indent="1"/>
      <protection locked="0"/>
    </xf>
    <xf numFmtId="0" fontId="1" fillId="5" borderId="2" xfId="0" quotePrefix="1" applyFont="1" applyFill="1" applyBorder="1" applyAlignment="1">
      <alignment horizontal="right" indent="1"/>
    </xf>
    <xf numFmtId="0" fontId="1" fillId="5" borderId="2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19" fontId="4" fillId="2" borderId="0" xfId="0" applyNumberFormat="1" applyFont="1" applyFill="1"/>
    <xf numFmtId="19" fontId="0" fillId="0" borderId="0" xfId="0" applyNumberFormat="1"/>
    <xf numFmtId="165" fontId="0" fillId="0" borderId="2" xfId="0" quotePrefix="1" applyNumberFormat="1" applyBorder="1" applyAlignment="1">
      <alignment horizontal="center"/>
    </xf>
    <xf numFmtId="0" fontId="2" fillId="6" borderId="1" xfId="0" quotePrefix="1" applyFont="1" applyFill="1" applyBorder="1" applyAlignment="1">
      <alignment horizontal="right" indent="1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2" borderId="8" xfId="0" quotePrefix="1" applyFill="1" applyBorder="1" applyAlignment="1">
      <alignment horizontal="right" indent="1"/>
    </xf>
    <xf numFmtId="0" fontId="0" fillId="2" borderId="7" xfId="0" quotePrefix="1" applyFill="1" applyBorder="1" applyAlignment="1">
      <alignment horizontal="right" indent="1"/>
    </xf>
    <xf numFmtId="0" fontId="0" fillId="2" borderId="2" xfId="0" quotePrefix="1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0" fontId="0" fillId="0" borderId="0" xfId="0" applyAlignment="1">
      <alignment horizontal="right" indent="1"/>
    </xf>
    <xf numFmtId="0" fontId="0" fillId="2" borderId="5" xfId="0" quotePrefix="1" applyFill="1" applyBorder="1" applyAlignment="1">
      <alignment horizontal="right" indent="1"/>
    </xf>
    <xf numFmtId="0" fontId="0" fillId="2" borderId="6" xfId="0" quotePrefix="1" applyFill="1" applyBorder="1" applyAlignment="1">
      <alignment horizontal="right" indent="1"/>
    </xf>
    <xf numFmtId="0" fontId="0" fillId="2" borderId="5" xfId="0" applyFill="1" applyBorder="1" applyAlignment="1">
      <alignment horizontal="right" indent="1"/>
    </xf>
    <xf numFmtId="0" fontId="0" fillId="2" borderId="6" xfId="0" applyFill="1" applyBorder="1" applyAlignment="1">
      <alignment horizontal="right" indent="1"/>
    </xf>
    <xf numFmtId="1" fontId="1" fillId="5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0" fontId="0" fillId="2" borderId="3" xfId="0" quotePrefix="1" applyFill="1" applyBorder="1" applyAlignment="1">
      <alignment horizontal="right" indent="1"/>
    </xf>
    <xf numFmtId="1" fontId="4" fillId="2" borderId="12" xfId="0" applyNumberFormat="1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0" fontId="2" fillId="2" borderId="2" xfId="0" quotePrefix="1" applyFont="1" applyFill="1" applyBorder="1" applyAlignment="1">
      <alignment horizontal="left"/>
    </xf>
    <xf numFmtId="0" fontId="8" fillId="2" borderId="8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0" fillId="2" borderId="14" xfId="0" quotePrefix="1" applyFill="1" applyBorder="1" applyAlignment="1">
      <alignment horizontal="right"/>
    </xf>
    <xf numFmtId="1" fontId="0" fillId="2" borderId="3" xfId="0" applyNumberFormat="1" applyFill="1" applyBorder="1" applyAlignment="1">
      <alignment horizontal="center"/>
    </xf>
    <xf numFmtId="0" fontId="0" fillId="2" borderId="7" xfId="0" quotePrefix="1" applyFill="1" applyBorder="1" applyAlignment="1">
      <alignment horizontal="right"/>
    </xf>
    <xf numFmtId="1" fontId="0" fillId="2" borderId="6" xfId="0" applyNumberForma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1" fillId="5" borderId="2" xfId="0" applyNumberFormat="1" applyFont="1" applyFill="1" applyBorder="1" applyAlignment="1">
      <alignment horizontal="center"/>
    </xf>
    <xf numFmtId="19" fontId="3" fillId="3" borderId="12" xfId="0" quotePrefix="1" applyNumberFormat="1" applyFont="1" applyFill="1" applyBorder="1" applyAlignment="1">
      <alignment horizontal="center"/>
    </xf>
    <xf numFmtId="19" fontId="3" fillId="3" borderId="12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quotePrefix="1" applyFont="1" applyFill="1" applyBorder="1" applyAlignment="1">
      <alignment horizontal="right"/>
    </xf>
    <xf numFmtId="0" fontId="0" fillId="2" borderId="0" xfId="0" applyFill="1" applyAlignment="1"/>
    <xf numFmtId="0" fontId="5" fillId="2" borderId="0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 applyProtection="1">
      <alignment horizontal="left" indent="1"/>
      <protection locked="0"/>
    </xf>
    <xf numFmtId="165" fontId="0" fillId="2" borderId="0" xfId="0" quotePrefix="1" applyNumberFormat="1" applyFill="1" applyBorder="1" applyAlignment="1">
      <alignment horizontal="center"/>
    </xf>
    <xf numFmtId="0" fontId="6" fillId="4" borderId="8" xfId="0" quotePrefix="1" applyFont="1" applyFill="1" applyBorder="1" applyAlignment="1">
      <alignment horizontal="right" vertical="center" indent="1"/>
    </xf>
    <xf numFmtId="0" fontId="6" fillId="4" borderId="14" xfId="0" quotePrefix="1" applyFont="1" applyFill="1" applyBorder="1" applyAlignment="1">
      <alignment horizontal="right" vertical="center" indent="1"/>
    </xf>
    <xf numFmtId="0" fontId="6" fillId="4" borderId="7" xfId="0" quotePrefix="1" applyFont="1" applyFill="1" applyBorder="1" applyAlignment="1">
      <alignment horizontal="right" vertical="center" indent="1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 indent="1"/>
    </xf>
    <xf numFmtId="0" fontId="7" fillId="2" borderId="0" xfId="0" applyFont="1" applyFill="1" applyBorder="1" applyAlignment="1">
      <alignment horizontal="right" indent="1"/>
    </xf>
    <xf numFmtId="0" fontId="7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right" indent="1"/>
    </xf>
    <xf numFmtId="0" fontId="2" fillId="2" borderId="18" xfId="0" quotePrefix="1" applyFont="1" applyFill="1" applyBorder="1" applyAlignment="1">
      <alignment horizontal="center"/>
    </xf>
    <xf numFmtId="0" fontId="7" fillId="2" borderId="0" xfId="0" applyFont="1" applyFill="1"/>
    <xf numFmtId="166" fontId="0" fillId="2" borderId="5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5" xfId="0" quotePrefix="1" applyFont="1" applyFill="1" applyBorder="1" applyAlignment="1">
      <alignment horizontal="right" vertical="center" indent="1"/>
    </xf>
    <xf numFmtId="0" fontId="6" fillId="2" borderId="3" xfId="0" quotePrefix="1" applyFont="1" applyFill="1" applyBorder="1" applyAlignment="1">
      <alignment horizontal="right" vertical="center" indent="1"/>
    </xf>
    <xf numFmtId="0" fontId="6" fillId="2" borderId="6" xfId="0" quotePrefix="1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right" wrapText="1"/>
    </xf>
    <xf numFmtId="0" fontId="1" fillId="5" borderId="16" xfId="0" quotePrefix="1" applyFont="1" applyFill="1" applyBorder="1" applyAlignment="1">
      <alignment horizontal="right" wrapText="1"/>
    </xf>
    <xf numFmtId="0" fontId="1" fillId="5" borderId="13" xfId="0" quotePrefix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0" fillId="4" borderId="15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166" fontId="0" fillId="4" borderId="24" xfId="0" applyNumberForma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5" borderId="25" xfId="0" quotePrefix="1" applyFont="1" applyFill="1" applyBorder="1" applyAlignment="1">
      <alignment horizontal="right" wrapText="1"/>
    </xf>
    <xf numFmtId="166" fontId="0" fillId="4" borderId="22" xfId="0" applyNumberForma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6" fontId="0" fillId="4" borderId="23" xfId="0" applyNumberForma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1">
    <cellStyle name="Normal" xfId="0" builtinId="0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7471</xdr:colOff>
      <xdr:row>15</xdr:row>
      <xdr:rowOff>156883</xdr:rowOff>
    </xdr:from>
    <xdr:to>
      <xdr:col>1</xdr:col>
      <xdr:colOff>881529</xdr:colOff>
      <xdr:row>17</xdr:row>
      <xdr:rowOff>14942</xdr:rowOff>
    </xdr:to>
    <xdr:sp macro="[0]!Hide_data" textlink="">
      <xdr:nvSpPr>
        <xdr:cNvPr id="2" name="TextBox 1">
          <a:extLst>
            <a:ext uri="{FF2B5EF4-FFF2-40B4-BE49-F238E27FC236}">
              <a16:creationId xmlns:a16="http://schemas.microsoft.com/office/drawing/2014/main" id="{2FB44258-E4C1-4929-A438-426B556D040A}"/>
            </a:ext>
          </a:extLst>
        </xdr:cNvPr>
        <xdr:cNvSpPr txBox="1"/>
      </xdr:nvSpPr>
      <xdr:spPr>
        <a:xfrm>
          <a:off x="620059" y="3406589"/>
          <a:ext cx="874058" cy="2315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lang="en-AU" sz="1100" b="1"/>
            <a:t>Hide Data</a:t>
          </a:r>
        </a:p>
      </xdr:txBody>
    </xdr:sp>
    <xdr:clientData/>
  </xdr:twoCellAnchor>
  <xdr:twoCellAnchor>
    <xdr:from>
      <xdr:col>1</xdr:col>
      <xdr:colOff>1165412</xdr:colOff>
      <xdr:row>15</xdr:row>
      <xdr:rowOff>164354</xdr:rowOff>
    </xdr:from>
    <xdr:to>
      <xdr:col>1</xdr:col>
      <xdr:colOff>2039470</xdr:colOff>
      <xdr:row>17</xdr:row>
      <xdr:rowOff>22413</xdr:rowOff>
    </xdr:to>
    <xdr:sp macro="[0]!Unhide_data" textlink="">
      <xdr:nvSpPr>
        <xdr:cNvPr id="3" name="TextBox 2">
          <a:extLst>
            <a:ext uri="{FF2B5EF4-FFF2-40B4-BE49-F238E27FC236}">
              <a16:creationId xmlns:a16="http://schemas.microsoft.com/office/drawing/2014/main" id="{6A842E27-856A-4B9D-A244-85B38A2DF744}"/>
            </a:ext>
          </a:extLst>
        </xdr:cNvPr>
        <xdr:cNvSpPr txBox="1"/>
      </xdr:nvSpPr>
      <xdr:spPr>
        <a:xfrm>
          <a:off x="1778000" y="3414060"/>
          <a:ext cx="874058" cy="2315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lang="en-AU" sz="1100" b="1"/>
            <a:t>Show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50DD-C82B-4EF4-9E2C-BA9BB264D50B}">
  <sheetPr codeName="Sheet2"/>
  <dimension ref="A1:AD87"/>
  <sheetViews>
    <sheetView zoomScale="85" zoomScaleNormal="85" workbookViewId="0">
      <pane ySplit="20" topLeftCell="A21" activePane="bottomLeft" state="frozenSplit"/>
      <selection pane="bottomLeft" activeCell="C4" sqref="C4"/>
    </sheetView>
  </sheetViews>
  <sheetFormatPr defaultRowHeight="14.5" x14ac:dyDescent="0.35"/>
  <cols>
    <col min="2" max="2" width="37.08984375" customWidth="1"/>
    <col min="5" max="5" width="20.08984375" customWidth="1"/>
    <col min="6" max="6" width="15.81640625" customWidth="1"/>
    <col min="7" max="7" width="6.1796875" customWidth="1"/>
    <col min="8" max="8" width="14.6328125" hidden="1" customWidth="1"/>
    <col min="9" max="9" width="14" hidden="1" customWidth="1"/>
    <col min="10" max="10" width="13.453125" hidden="1" customWidth="1"/>
    <col min="11" max="11" width="14" hidden="1" customWidth="1"/>
    <col min="12" max="12" width="13.54296875" hidden="1" customWidth="1"/>
    <col min="13" max="13" width="13.1796875" hidden="1" customWidth="1"/>
    <col min="14" max="14" width="11.26953125" hidden="1" customWidth="1"/>
    <col min="15" max="15" width="11.08984375" hidden="1" customWidth="1"/>
    <col min="18" max="18" width="34.81640625" customWidth="1"/>
  </cols>
  <sheetData>
    <row r="1" spans="1:30" ht="17.5" customHeight="1" x14ac:dyDescent="0.35">
      <c r="A1" s="1"/>
      <c r="B1" s="1"/>
      <c r="C1" s="1"/>
      <c r="D1" s="1"/>
      <c r="E1" s="1"/>
      <c r="F1" s="1"/>
      <c r="G1" s="1"/>
      <c r="H1" s="2" t="s">
        <v>27</v>
      </c>
      <c r="I1" s="2" t="s">
        <v>28</v>
      </c>
      <c r="J1" s="2" t="s">
        <v>25</v>
      </c>
      <c r="K1" s="2" t="s">
        <v>26</v>
      </c>
      <c r="L1" s="2" t="s">
        <v>11</v>
      </c>
      <c r="M1" s="3" t="s">
        <v>2</v>
      </c>
      <c r="N1" s="2" t="s">
        <v>16</v>
      </c>
      <c r="O1" s="3" t="s">
        <v>15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7.5" customHeight="1" x14ac:dyDescent="0.35">
      <c r="A2" s="1"/>
      <c r="B2" s="26" t="s">
        <v>6</v>
      </c>
      <c r="C2" s="16">
        <v>40</v>
      </c>
      <c r="D2" s="1"/>
      <c r="E2" s="19" t="s">
        <v>17</v>
      </c>
      <c r="F2" s="7">
        <v>40539.333333333336</v>
      </c>
      <c r="G2" s="1"/>
      <c r="H2" s="4"/>
      <c r="I2" s="4"/>
      <c r="J2" s="4"/>
      <c r="K2" s="4"/>
      <c r="L2" s="4"/>
      <c r="M2" s="5">
        <v>15</v>
      </c>
      <c r="N2" s="5">
        <v>2</v>
      </c>
      <c r="O2" s="5">
        <v>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7.5" customHeight="1" x14ac:dyDescent="0.35">
      <c r="A3" s="1"/>
      <c r="B3" s="30" t="s">
        <v>29</v>
      </c>
      <c r="C3" s="17">
        <v>5</v>
      </c>
      <c r="D3" s="1"/>
      <c r="E3" s="20" t="s">
        <v>18</v>
      </c>
      <c r="F3" s="8">
        <v>40539.750000000051</v>
      </c>
      <c r="G3" s="1"/>
      <c r="H3" s="4">
        <v>40539.333333333336</v>
      </c>
      <c r="I3" s="4">
        <v>40540.333333333336</v>
      </c>
      <c r="J3" s="4">
        <v>40541.333333333336</v>
      </c>
      <c r="K3" s="4">
        <v>40542.333333333336</v>
      </c>
      <c r="L3" s="4">
        <v>40543.333333333336</v>
      </c>
      <c r="M3" s="5">
        <v>20</v>
      </c>
      <c r="N3" s="5">
        <v>3</v>
      </c>
      <c r="O3" s="5">
        <v>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7.5" customHeight="1" x14ac:dyDescent="0.35">
      <c r="A4" s="1"/>
      <c r="B4" s="27" t="s">
        <v>7</v>
      </c>
      <c r="C4" s="18">
        <v>20</v>
      </c>
      <c r="D4" s="1"/>
      <c r="E4" s="21" t="s">
        <v>12</v>
      </c>
      <c r="F4" s="14">
        <f>IF(F3-F2&lt;0,"",IF(F3+F2=0,"",IF(F2="","",((F3-F2)*1440)/60)))</f>
        <v>10.000000001164153</v>
      </c>
      <c r="G4" s="1"/>
      <c r="H4" s="4">
        <f t="shared" ref="H4:H35" si="0">H3+TIME(0,$C$2,0)</f>
        <v>40539.361111111117</v>
      </c>
      <c r="I4" s="4">
        <f t="shared" ref="I4:I35" si="1">I3+TIME(0,$C$2,0)</f>
        <v>40540.361111111117</v>
      </c>
      <c r="J4" s="4">
        <f t="shared" ref="J4:J35" si="2">J3+TIME(0,$C$2,0)</f>
        <v>40541.361111111117</v>
      </c>
      <c r="K4" s="4">
        <f t="shared" ref="K4:K35" si="3">K3+TIME(0,$C$2,0)</f>
        <v>40542.361111111117</v>
      </c>
      <c r="L4" s="4">
        <f t="shared" ref="L4:L35" si="4">L3+TIME(0,$C$2,0)</f>
        <v>40543.361111111117</v>
      </c>
      <c r="M4" s="5">
        <v>25</v>
      </c>
      <c r="N4" s="5">
        <v>4</v>
      </c>
      <c r="O4" s="5">
        <v>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7.5" customHeight="1" x14ac:dyDescent="0.35">
      <c r="A5" s="1"/>
      <c r="D5" s="1"/>
      <c r="E5" s="22"/>
      <c r="F5" s="1"/>
      <c r="G5" s="1"/>
      <c r="H5" s="4">
        <f t="shared" si="0"/>
        <v>40539.388888888898</v>
      </c>
      <c r="I5" s="4">
        <f t="shared" si="1"/>
        <v>40540.388888888898</v>
      </c>
      <c r="J5" s="4">
        <f t="shared" si="2"/>
        <v>40541.388888888898</v>
      </c>
      <c r="K5" s="4">
        <f t="shared" si="3"/>
        <v>40542.388888888898</v>
      </c>
      <c r="L5" s="4">
        <f t="shared" si="4"/>
        <v>40543.388888888898</v>
      </c>
      <c r="M5" s="5">
        <v>30</v>
      </c>
      <c r="N5" s="5">
        <v>5</v>
      </c>
      <c r="O5" s="5">
        <v>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7.5" customHeight="1" x14ac:dyDescent="0.35">
      <c r="A6" s="1"/>
      <c r="B6" s="9" t="str">
        <f>"No. matches per hour on "&amp;C4&amp;" courts"</f>
        <v>No. matches per hour on 20 courts</v>
      </c>
      <c r="C6" s="10">
        <f>IF(C2="","",IF(C4="","",C4*(60/C2)))</f>
        <v>30</v>
      </c>
      <c r="D6" s="1"/>
      <c r="E6" s="19" t="s">
        <v>19</v>
      </c>
      <c r="F6" s="7">
        <v>40539.333333333336</v>
      </c>
      <c r="G6" s="1"/>
      <c r="H6" s="4">
        <f t="shared" si="0"/>
        <v>40539.416666666679</v>
      </c>
      <c r="I6" s="4">
        <f t="shared" si="1"/>
        <v>40540.416666666679</v>
      </c>
      <c r="J6" s="4">
        <f t="shared" si="2"/>
        <v>40541.416666666679</v>
      </c>
      <c r="K6" s="4">
        <f t="shared" si="3"/>
        <v>40542.416666666679</v>
      </c>
      <c r="L6" s="4">
        <f t="shared" si="4"/>
        <v>40543.416666666679</v>
      </c>
      <c r="M6" s="5">
        <v>40</v>
      </c>
      <c r="O6" s="5">
        <v>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7.5" customHeight="1" x14ac:dyDescent="0.35">
      <c r="A7" s="1"/>
      <c r="B7" s="15" t="str">
        <f>IF(AND(F2="",F3=""),"","Max. no. matches possible Mon")</f>
        <v>Max. no. matches possible Mon</v>
      </c>
      <c r="C7" s="11">
        <f>IF(F4="","",F4*$C$6)</f>
        <v>300.0000000349246</v>
      </c>
      <c r="D7" s="1"/>
      <c r="E7" s="20" t="s">
        <v>20</v>
      </c>
      <c r="F7" s="8">
        <v>40539.750000000051</v>
      </c>
      <c r="G7" s="1"/>
      <c r="H7" s="4">
        <f t="shared" si="0"/>
        <v>40539.44444444446</v>
      </c>
      <c r="I7" s="4">
        <f t="shared" si="1"/>
        <v>40540.44444444446</v>
      </c>
      <c r="J7" s="4">
        <f t="shared" si="2"/>
        <v>40541.44444444446</v>
      </c>
      <c r="K7" s="4">
        <f t="shared" si="3"/>
        <v>40542.44444444446</v>
      </c>
      <c r="L7" s="4">
        <f t="shared" si="4"/>
        <v>40543.44444444446</v>
      </c>
      <c r="M7" s="5">
        <v>45</v>
      </c>
      <c r="N7" s="5"/>
      <c r="O7" s="5">
        <v>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7.5" customHeight="1" x14ac:dyDescent="0.35">
      <c r="A8" s="1"/>
      <c r="B8" s="15" t="str">
        <f>IF(AND(F6="",F7=""),"","Max. no. matches possible Tues")</f>
        <v>Max. no. matches possible Tues</v>
      </c>
      <c r="C8" s="11">
        <f>IF(F8="","",F8*$C$6)</f>
        <v>300.0000000349246</v>
      </c>
      <c r="D8" s="1"/>
      <c r="E8" s="21" t="s">
        <v>12</v>
      </c>
      <c r="F8" s="14">
        <f>IF(F7-F6&lt;0,"",IF(F7+F6=0,"",IF(F6="","",((F7-F6)*1440)/60)))</f>
        <v>10.000000001164153</v>
      </c>
      <c r="G8" s="1"/>
      <c r="H8" s="4">
        <f t="shared" si="0"/>
        <v>40539.472222222241</v>
      </c>
      <c r="I8" s="4">
        <f t="shared" si="1"/>
        <v>40540.472222222241</v>
      </c>
      <c r="J8" s="4">
        <f t="shared" si="2"/>
        <v>40541.472222222241</v>
      </c>
      <c r="K8" s="4">
        <f t="shared" si="3"/>
        <v>40542.472222222241</v>
      </c>
      <c r="L8" s="4">
        <f t="shared" si="4"/>
        <v>40543.472222222241</v>
      </c>
      <c r="M8" s="31">
        <v>100</v>
      </c>
      <c r="N8" s="6"/>
      <c r="O8" s="5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7.5" customHeight="1" x14ac:dyDescent="0.35">
      <c r="A9" s="1"/>
      <c r="B9" s="15" t="str">
        <f>IF(AND(F10="",F11=""),"","Max. no. matches possible Wed")</f>
        <v>Max. no. matches possible Wed</v>
      </c>
      <c r="C9" s="11">
        <f>IF(F12="","",F12*$C$6)</f>
        <v>300.0000000349246</v>
      </c>
      <c r="D9" s="1"/>
      <c r="E9" s="22"/>
      <c r="F9" s="1"/>
      <c r="G9" s="1"/>
      <c r="H9" s="4">
        <f t="shared" si="0"/>
        <v>40539.500000000022</v>
      </c>
      <c r="I9" s="4">
        <f t="shared" si="1"/>
        <v>40540.500000000022</v>
      </c>
      <c r="J9" s="4">
        <f t="shared" si="2"/>
        <v>40541.500000000022</v>
      </c>
      <c r="K9" s="4">
        <f t="shared" si="3"/>
        <v>40542.500000000022</v>
      </c>
      <c r="L9" s="4">
        <f t="shared" si="4"/>
        <v>40543.500000000022</v>
      </c>
      <c r="M9" s="5">
        <v>120</v>
      </c>
      <c r="N9" s="6"/>
      <c r="O9" s="5">
        <v>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7.5" customHeight="1" x14ac:dyDescent="0.35">
      <c r="A10" s="1"/>
      <c r="B10" s="15" t="str">
        <f>IF(AND(F14="",F15=""),"","Max. no. matches possible Thurs")</f>
        <v>Max. no. matches possible Thurs</v>
      </c>
      <c r="C10" s="11">
        <f>IF(F16="","",F16*$C$6)</f>
        <v>300.0000000349246</v>
      </c>
      <c r="D10" s="1"/>
      <c r="E10" s="24" t="s">
        <v>21</v>
      </c>
      <c r="F10" s="7">
        <v>40539.333333333336</v>
      </c>
      <c r="G10" s="1"/>
      <c r="H10" s="4">
        <f t="shared" si="0"/>
        <v>40539.527777777803</v>
      </c>
      <c r="I10" s="4">
        <f t="shared" si="1"/>
        <v>40540.527777777803</v>
      </c>
      <c r="J10" s="4">
        <f t="shared" si="2"/>
        <v>40541.527777777803</v>
      </c>
      <c r="K10" s="4">
        <f t="shared" si="3"/>
        <v>40542.527777777803</v>
      </c>
      <c r="L10" s="4">
        <f t="shared" si="4"/>
        <v>40543.527777777803</v>
      </c>
      <c r="M10" s="6"/>
      <c r="N10" s="6"/>
      <c r="O10" s="5">
        <v>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7.5" customHeight="1" x14ac:dyDescent="0.35">
      <c r="A11" s="1"/>
      <c r="B11" s="15" t="str">
        <f>IF(AND(F18="",F19=""),"","Max. no. matches possible Fri")</f>
        <v>Max. no. matches possible Fri</v>
      </c>
      <c r="C11" s="11">
        <f>IF(F20="","",F20*$C$6)</f>
        <v>300.0000000349246</v>
      </c>
      <c r="D11" s="1"/>
      <c r="E11" s="25" t="s">
        <v>22</v>
      </c>
      <c r="F11" s="8">
        <v>40539.750000000051</v>
      </c>
      <c r="G11" s="1"/>
      <c r="H11" s="4">
        <f t="shared" si="0"/>
        <v>40539.555555555584</v>
      </c>
      <c r="I11" s="4">
        <f t="shared" si="1"/>
        <v>40540.555555555584</v>
      </c>
      <c r="J11" s="4">
        <f t="shared" si="2"/>
        <v>40541.555555555584</v>
      </c>
      <c r="K11" s="4">
        <f t="shared" si="3"/>
        <v>40542.555555555584</v>
      </c>
      <c r="L11" s="4">
        <f t="shared" si="4"/>
        <v>40543.555555555584</v>
      </c>
      <c r="M11" s="6"/>
      <c r="N11" s="6"/>
      <c r="O11" s="5">
        <v>11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7.5" customHeight="1" x14ac:dyDescent="0.35">
      <c r="A12" s="1"/>
      <c r="B12" s="15" t="str">
        <f>IF(C12="","","Max. no. matches possible for  week")</f>
        <v>Max. no. matches possible for  week</v>
      </c>
      <c r="C12" s="29">
        <f>IF(SUM(C7:C11)=0,"",SUM(C7:C11))</f>
        <v>1500.000000174623</v>
      </c>
      <c r="D12" s="1"/>
      <c r="E12" s="21" t="s">
        <v>12</v>
      </c>
      <c r="F12" s="14">
        <f>IF(F11-F10&lt;0,"",IF(F11+F10=0,"",IF(F10="","",((F11-F10)*1440)/60)))</f>
        <v>10.000000001164153</v>
      </c>
      <c r="G12" s="1"/>
      <c r="H12" s="4">
        <f t="shared" si="0"/>
        <v>40539.583333333365</v>
      </c>
      <c r="I12" s="4">
        <f t="shared" si="1"/>
        <v>40540.583333333365</v>
      </c>
      <c r="J12" s="4">
        <f t="shared" si="2"/>
        <v>40541.583333333365</v>
      </c>
      <c r="K12" s="4">
        <f t="shared" si="3"/>
        <v>40542.583333333365</v>
      </c>
      <c r="L12" s="4">
        <f t="shared" si="4"/>
        <v>40543.583333333365</v>
      </c>
      <c r="M12" s="6"/>
      <c r="N12" s="6"/>
      <c r="O12" s="5">
        <v>12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35">
      <c r="A13" s="1"/>
      <c r="B13" s="9" t="s">
        <v>14</v>
      </c>
      <c r="C13" s="28">
        <f>IF(C12="","",C12/C3)</f>
        <v>300.0000000349246</v>
      </c>
      <c r="D13" s="1"/>
      <c r="E13" s="1"/>
      <c r="F13" s="1"/>
      <c r="G13" s="1"/>
      <c r="H13" s="4">
        <f t="shared" si="0"/>
        <v>40539.611111111146</v>
      </c>
      <c r="I13" s="4">
        <f t="shared" si="1"/>
        <v>40540.611111111146</v>
      </c>
      <c r="J13" s="4">
        <f t="shared" si="2"/>
        <v>40541.611111111146</v>
      </c>
      <c r="K13" s="4">
        <f t="shared" si="3"/>
        <v>40542.611111111146</v>
      </c>
      <c r="L13" s="4">
        <f t="shared" si="4"/>
        <v>40543.611111111146</v>
      </c>
      <c r="M13" s="6"/>
      <c r="N13" s="6"/>
      <c r="O13" s="5">
        <v>13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35">
      <c r="A14" s="1"/>
      <c r="B14" s="1"/>
      <c r="C14" s="1"/>
      <c r="D14" s="1"/>
      <c r="E14" s="19" t="s">
        <v>23</v>
      </c>
      <c r="F14" s="7">
        <v>40539.333333333336</v>
      </c>
      <c r="G14" s="1"/>
      <c r="H14" s="4">
        <f t="shared" si="0"/>
        <v>40539.638888888927</v>
      </c>
      <c r="I14" s="4">
        <f t="shared" si="1"/>
        <v>40540.638888888927</v>
      </c>
      <c r="J14" s="4">
        <f t="shared" si="2"/>
        <v>40541.638888888927</v>
      </c>
      <c r="K14" s="4">
        <f t="shared" si="3"/>
        <v>40542.638888888927</v>
      </c>
      <c r="L14" s="4">
        <f t="shared" si="4"/>
        <v>40543.638888888927</v>
      </c>
      <c r="M14" s="6"/>
      <c r="N14" s="6"/>
      <c r="O14" s="5">
        <v>14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5">
      <c r="A15" s="1"/>
      <c r="B15" s="1"/>
      <c r="C15" s="1"/>
      <c r="D15" s="1"/>
      <c r="E15" s="20" t="s">
        <v>24</v>
      </c>
      <c r="F15" s="8">
        <v>40539.750000000051</v>
      </c>
      <c r="G15" s="1"/>
      <c r="H15" s="4">
        <f t="shared" si="0"/>
        <v>40539.666666666708</v>
      </c>
      <c r="I15" s="4">
        <f t="shared" si="1"/>
        <v>40540.666666666708</v>
      </c>
      <c r="J15" s="4">
        <f t="shared" si="2"/>
        <v>40541.666666666708</v>
      </c>
      <c r="K15" s="4">
        <f t="shared" si="3"/>
        <v>40542.666666666708</v>
      </c>
      <c r="L15" s="4">
        <f t="shared" si="4"/>
        <v>40543.666666666708</v>
      </c>
      <c r="M15" s="6"/>
      <c r="N15" s="6"/>
      <c r="O15" s="5">
        <v>15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5">
      <c r="A16" s="1"/>
      <c r="B16" s="1"/>
      <c r="C16" s="1"/>
      <c r="D16" s="1"/>
      <c r="E16" s="21" t="s">
        <v>12</v>
      </c>
      <c r="F16" s="14">
        <f>IF(F15-F14&lt;0,"",IF(F15+F14=0,"",IF(F14="","",((F15-F14)*1440)/60)))</f>
        <v>10.000000001164153</v>
      </c>
      <c r="G16" s="1"/>
      <c r="H16" s="4">
        <f t="shared" si="0"/>
        <v>40539.694444444489</v>
      </c>
      <c r="I16" s="4">
        <f t="shared" si="1"/>
        <v>40540.694444444489</v>
      </c>
      <c r="J16" s="4">
        <f t="shared" si="2"/>
        <v>40541.694444444489</v>
      </c>
      <c r="K16" s="4">
        <f t="shared" si="3"/>
        <v>40542.694444444489</v>
      </c>
      <c r="L16" s="4">
        <f t="shared" si="4"/>
        <v>40543.694444444489</v>
      </c>
      <c r="M16" s="6"/>
      <c r="N16" s="6"/>
      <c r="O16" s="5">
        <v>16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5">
      <c r="A17" s="1"/>
      <c r="B17" s="1"/>
      <c r="C17" s="1"/>
      <c r="D17" s="1"/>
      <c r="E17" s="22"/>
      <c r="F17" s="1"/>
      <c r="G17" s="1"/>
      <c r="H17" s="4">
        <f t="shared" si="0"/>
        <v>40539.72222222227</v>
      </c>
      <c r="I17" s="4">
        <f t="shared" si="1"/>
        <v>40540.72222222227</v>
      </c>
      <c r="J17" s="4">
        <f t="shared" si="2"/>
        <v>40541.72222222227</v>
      </c>
      <c r="K17" s="4">
        <f t="shared" si="3"/>
        <v>40542.72222222227</v>
      </c>
      <c r="L17" s="4">
        <f t="shared" si="4"/>
        <v>40543.72222222227</v>
      </c>
      <c r="M17" s="6"/>
      <c r="N17" s="6"/>
      <c r="O17" s="5">
        <v>17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5">
      <c r="A18" s="1"/>
      <c r="B18" s="1"/>
      <c r="C18" s="1"/>
      <c r="D18" s="1"/>
      <c r="E18" s="19" t="s">
        <v>9</v>
      </c>
      <c r="F18" s="7">
        <v>40539.333333333336</v>
      </c>
      <c r="G18" s="1"/>
      <c r="H18" s="4">
        <f t="shared" si="0"/>
        <v>40539.750000000051</v>
      </c>
      <c r="I18" s="4">
        <f t="shared" si="1"/>
        <v>40540.750000000051</v>
      </c>
      <c r="J18" s="4">
        <f t="shared" si="2"/>
        <v>40541.750000000051</v>
      </c>
      <c r="K18" s="4">
        <f t="shared" si="3"/>
        <v>40542.750000000051</v>
      </c>
      <c r="L18" s="4">
        <f t="shared" si="4"/>
        <v>40543.750000000051</v>
      </c>
      <c r="M18" s="6"/>
      <c r="N18" s="6"/>
      <c r="O18" s="5">
        <v>18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5">
      <c r="A19" s="1"/>
      <c r="B19" s="1"/>
      <c r="C19" s="1"/>
      <c r="D19" s="1"/>
      <c r="E19" s="20" t="s">
        <v>10</v>
      </c>
      <c r="F19" s="8">
        <v>40539.750000000051</v>
      </c>
      <c r="G19" s="1"/>
      <c r="H19" s="4">
        <f t="shared" si="0"/>
        <v>40539.777777777832</v>
      </c>
      <c r="I19" s="4">
        <f t="shared" si="1"/>
        <v>40540.777777777832</v>
      </c>
      <c r="J19" s="4">
        <f t="shared" si="2"/>
        <v>40541.777777777832</v>
      </c>
      <c r="K19" s="4">
        <f t="shared" si="3"/>
        <v>40542.777777777832</v>
      </c>
      <c r="L19" s="4">
        <f t="shared" si="4"/>
        <v>40543.777777777832</v>
      </c>
      <c r="M19" s="6"/>
      <c r="N19" s="6"/>
      <c r="O19" s="5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35">
      <c r="A20" s="1"/>
      <c r="B20" s="1"/>
      <c r="C20" s="1"/>
      <c r="D20" s="1"/>
      <c r="E20" s="21" t="s">
        <v>12</v>
      </c>
      <c r="F20" s="14">
        <f>IF(F19-F18&lt;0,"",IF(F19+F18=0,"",IF(F18="","",((F19-F18)*1440)/60)))</f>
        <v>10.000000001164153</v>
      </c>
      <c r="G20" s="1"/>
      <c r="H20" s="4">
        <f t="shared" si="0"/>
        <v>40539.805555555613</v>
      </c>
      <c r="I20" s="4">
        <f t="shared" si="1"/>
        <v>40540.805555555613</v>
      </c>
      <c r="J20" s="4">
        <f t="shared" si="2"/>
        <v>40541.805555555613</v>
      </c>
      <c r="K20" s="4">
        <f t="shared" si="3"/>
        <v>40542.805555555613</v>
      </c>
      <c r="L20" s="4">
        <f t="shared" si="4"/>
        <v>40543.805555555613</v>
      </c>
      <c r="M20" s="6"/>
      <c r="N20" s="6"/>
      <c r="O20" s="5">
        <v>20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5">
      <c r="A21" s="1"/>
      <c r="B21" s="1"/>
      <c r="C21" s="1"/>
      <c r="D21" s="1"/>
      <c r="E21" s="22"/>
      <c r="F21" s="1"/>
      <c r="G21" s="1"/>
      <c r="H21" s="4">
        <f t="shared" si="0"/>
        <v>40539.833333333394</v>
      </c>
      <c r="I21" s="4">
        <f t="shared" si="1"/>
        <v>40540.833333333394</v>
      </c>
      <c r="J21" s="4">
        <f t="shared" si="2"/>
        <v>40541.833333333394</v>
      </c>
      <c r="K21" s="4">
        <f t="shared" si="3"/>
        <v>40542.833333333394</v>
      </c>
      <c r="L21" s="4">
        <f t="shared" si="4"/>
        <v>40543.833333333394</v>
      </c>
      <c r="M21" s="6"/>
      <c r="N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5">
      <c r="A22" s="1"/>
      <c r="B22" s="1"/>
      <c r="C22" s="1"/>
      <c r="D22" s="1"/>
      <c r="E22" s="1"/>
      <c r="F22" s="1"/>
      <c r="G22" s="1"/>
      <c r="H22" s="4">
        <f t="shared" si="0"/>
        <v>40539.861111111175</v>
      </c>
      <c r="I22" s="4">
        <f t="shared" si="1"/>
        <v>40540.861111111175</v>
      </c>
      <c r="J22" s="4">
        <f t="shared" si="2"/>
        <v>40541.861111111175</v>
      </c>
      <c r="K22" s="4">
        <f t="shared" si="3"/>
        <v>40542.861111111175</v>
      </c>
      <c r="L22" s="4">
        <f t="shared" si="4"/>
        <v>40543.861111111175</v>
      </c>
      <c r="M22" s="6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35">
      <c r="A23" s="1"/>
      <c r="B23" s="1"/>
      <c r="C23" s="1"/>
      <c r="D23" s="1"/>
      <c r="E23" s="1"/>
      <c r="F23" s="1"/>
      <c r="G23" s="1"/>
      <c r="H23" s="4">
        <f t="shared" si="0"/>
        <v>40539.888888888956</v>
      </c>
      <c r="I23" s="4">
        <f t="shared" si="1"/>
        <v>40540.888888888956</v>
      </c>
      <c r="J23" s="4">
        <f t="shared" si="2"/>
        <v>40541.888888888956</v>
      </c>
      <c r="K23" s="4">
        <f t="shared" si="3"/>
        <v>40542.888888888956</v>
      </c>
      <c r="L23" s="4">
        <f t="shared" si="4"/>
        <v>40543.888888888956</v>
      </c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5">
      <c r="A24" s="1"/>
      <c r="B24" s="1"/>
      <c r="C24" s="1"/>
      <c r="D24" s="1"/>
      <c r="E24" s="1"/>
      <c r="F24" s="1"/>
      <c r="G24" s="1"/>
      <c r="H24" s="4">
        <f t="shared" si="0"/>
        <v>40539.916666666737</v>
      </c>
      <c r="I24" s="4">
        <f t="shared" si="1"/>
        <v>40540.916666666737</v>
      </c>
      <c r="J24" s="4">
        <f t="shared" si="2"/>
        <v>40541.916666666737</v>
      </c>
      <c r="K24" s="4">
        <f t="shared" si="3"/>
        <v>40542.916666666737</v>
      </c>
      <c r="L24" s="4">
        <f t="shared" si="4"/>
        <v>40543.916666666737</v>
      </c>
      <c r="M24" s="6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35">
      <c r="A25" s="1"/>
      <c r="B25" s="1"/>
      <c r="C25" s="1"/>
      <c r="D25" s="1"/>
      <c r="E25" s="1"/>
      <c r="F25" s="1"/>
      <c r="G25" s="1"/>
      <c r="H25" s="4">
        <f t="shared" si="0"/>
        <v>40539.944444444518</v>
      </c>
      <c r="I25" s="4">
        <f t="shared" si="1"/>
        <v>40540.944444444518</v>
      </c>
      <c r="J25" s="4">
        <f t="shared" si="2"/>
        <v>40541.944444444518</v>
      </c>
      <c r="K25" s="4">
        <f t="shared" si="3"/>
        <v>40542.944444444518</v>
      </c>
      <c r="L25" s="4">
        <f t="shared" si="4"/>
        <v>40543.944444444518</v>
      </c>
      <c r="M25" s="6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35">
      <c r="A26" s="1"/>
      <c r="B26" s="1"/>
      <c r="C26" s="1"/>
      <c r="D26" s="1"/>
      <c r="E26" s="1"/>
      <c r="F26" s="1"/>
      <c r="G26" s="1"/>
      <c r="H26" s="4">
        <f t="shared" si="0"/>
        <v>40539.972222222299</v>
      </c>
      <c r="I26" s="4">
        <f t="shared" si="1"/>
        <v>40540.972222222299</v>
      </c>
      <c r="J26" s="4">
        <f t="shared" si="2"/>
        <v>40541.972222222299</v>
      </c>
      <c r="K26" s="4">
        <f t="shared" si="3"/>
        <v>40542.972222222299</v>
      </c>
      <c r="L26" s="4">
        <f t="shared" si="4"/>
        <v>40543.972222222299</v>
      </c>
      <c r="M26" s="6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35">
      <c r="A27" s="1"/>
      <c r="B27" s="1"/>
      <c r="C27" s="1"/>
      <c r="D27" s="1"/>
      <c r="E27" s="1"/>
      <c r="F27" s="1"/>
      <c r="G27" s="1"/>
      <c r="H27" s="4">
        <f t="shared" si="0"/>
        <v>40540.00000000008</v>
      </c>
      <c r="I27" s="4">
        <f t="shared" si="1"/>
        <v>40541.00000000008</v>
      </c>
      <c r="J27" s="4">
        <f t="shared" si="2"/>
        <v>40542.00000000008</v>
      </c>
      <c r="K27" s="4">
        <f t="shared" si="3"/>
        <v>40543.00000000008</v>
      </c>
      <c r="L27" s="4">
        <f t="shared" si="4"/>
        <v>40544.00000000008</v>
      </c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5">
      <c r="A28" s="1"/>
      <c r="B28" s="1"/>
      <c r="C28" s="1"/>
      <c r="D28" s="1"/>
      <c r="E28" s="1"/>
      <c r="F28" s="1"/>
      <c r="G28" s="1"/>
      <c r="H28" s="4">
        <f t="shared" si="0"/>
        <v>40540.027777777861</v>
      </c>
      <c r="I28" s="4">
        <f t="shared" si="1"/>
        <v>40541.027777777861</v>
      </c>
      <c r="J28" s="4">
        <f t="shared" si="2"/>
        <v>40542.027777777861</v>
      </c>
      <c r="K28" s="4">
        <f t="shared" si="3"/>
        <v>40543.027777777861</v>
      </c>
      <c r="L28" s="4">
        <f t="shared" si="4"/>
        <v>40544.027777777861</v>
      </c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5">
      <c r="A29" s="1"/>
      <c r="B29" s="1"/>
      <c r="C29" s="1"/>
      <c r="D29" s="1"/>
      <c r="E29" s="1"/>
      <c r="F29" s="1"/>
      <c r="G29" s="1"/>
      <c r="H29" s="4">
        <f t="shared" si="0"/>
        <v>40540.055555555642</v>
      </c>
      <c r="I29" s="4">
        <f t="shared" si="1"/>
        <v>40541.055555555642</v>
      </c>
      <c r="J29" s="4">
        <f t="shared" si="2"/>
        <v>40542.055555555642</v>
      </c>
      <c r="K29" s="4">
        <f t="shared" si="3"/>
        <v>40543.055555555642</v>
      </c>
      <c r="L29" s="4">
        <f t="shared" si="4"/>
        <v>40544.055555555642</v>
      </c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35">
      <c r="A30" s="1"/>
      <c r="B30" s="1"/>
      <c r="C30" s="1"/>
      <c r="D30" s="1"/>
      <c r="E30" s="1"/>
      <c r="F30" s="1"/>
      <c r="G30" s="1"/>
      <c r="H30" s="4">
        <f t="shared" si="0"/>
        <v>40540.083333333423</v>
      </c>
      <c r="I30" s="4">
        <f t="shared" si="1"/>
        <v>40541.083333333423</v>
      </c>
      <c r="J30" s="4">
        <f t="shared" si="2"/>
        <v>40542.083333333423</v>
      </c>
      <c r="K30" s="4">
        <f t="shared" si="3"/>
        <v>40543.083333333423</v>
      </c>
      <c r="L30" s="4">
        <f t="shared" si="4"/>
        <v>40544.083333333423</v>
      </c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35">
      <c r="A31" s="1"/>
      <c r="B31" s="1"/>
      <c r="C31" s="1"/>
      <c r="D31" s="1"/>
      <c r="E31" s="1"/>
      <c r="F31" s="1"/>
      <c r="G31" s="1"/>
      <c r="H31" s="4">
        <f t="shared" si="0"/>
        <v>40540.111111111204</v>
      </c>
      <c r="I31" s="4">
        <f t="shared" si="1"/>
        <v>40541.111111111204</v>
      </c>
      <c r="J31" s="4">
        <f t="shared" si="2"/>
        <v>40542.111111111204</v>
      </c>
      <c r="K31" s="4">
        <f t="shared" si="3"/>
        <v>40543.111111111204</v>
      </c>
      <c r="L31" s="4">
        <f t="shared" si="4"/>
        <v>40544.111111111204</v>
      </c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 customHeight="1" x14ac:dyDescent="0.35">
      <c r="A32" s="1"/>
      <c r="B32" s="1"/>
      <c r="C32" s="1"/>
      <c r="D32" s="1"/>
      <c r="E32" s="1"/>
      <c r="F32" s="1"/>
      <c r="G32" s="1"/>
      <c r="H32" s="4">
        <f t="shared" si="0"/>
        <v>40540.138888888985</v>
      </c>
      <c r="I32" s="4">
        <f t="shared" si="1"/>
        <v>40541.138888888985</v>
      </c>
      <c r="J32" s="4">
        <f t="shared" si="2"/>
        <v>40542.138888888985</v>
      </c>
      <c r="K32" s="4">
        <f t="shared" si="3"/>
        <v>40543.138888888985</v>
      </c>
      <c r="L32" s="4">
        <f t="shared" si="4"/>
        <v>40544.138888888985</v>
      </c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35">
      <c r="A33" s="1"/>
      <c r="B33" s="1"/>
      <c r="C33" s="1"/>
      <c r="D33" s="1"/>
      <c r="E33" s="1"/>
      <c r="F33" s="1"/>
      <c r="G33" s="1"/>
      <c r="H33" s="4">
        <f t="shared" si="0"/>
        <v>40540.166666666766</v>
      </c>
      <c r="I33" s="4">
        <f t="shared" si="1"/>
        <v>40541.166666666766</v>
      </c>
      <c r="J33" s="4">
        <f t="shared" si="2"/>
        <v>40542.166666666766</v>
      </c>
      <c r="K33" s="4">
        <f t="shared" si="3"/>
        <v>40543.166666666766</v>
      </c>
      <c r="L33" s="4">
        <f t="shared" si="4"/>
        <v>40544.166666666766</v>
      </c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35">
      <c r="A34" s="1"/>
      <c r="B34" s="1"/>
      <c r="C34" s="1"/>
      <c r="D34" s="1"/>
      <c r="E34" s="1"/>
      <c r="F34" s="1"/>
      <c r="G34" s="1"/>
      <c r="H34" s="4">
        <f t="shared" si="0"/>
        <v>40540.194444444547</v>
      </c>
      <c r="I34" s="4">
        <f t="shared" si="1"/>
        <v>40541.194444444547</v>
      </c>
      <c r="J34" s="4">
        <f t="shared" si="2"/>
        <v>40542.194444444547</v>
      </c>
      <c r="K34" s="4">
        <f t="shared" si="3"/>
        <v>40543.194444444547</v>
      </c>
      <c r="L34" s="4">
        <f t="shared" si="4"/>
        <v>40544.194444444547</v>
      </c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35">
      <c r="A35" s="1"/>
      <c r="B35" s="1"/>
      <c r="C35" s="1"/>
      <c r="D35" s="1"/>
      <c r="E35" s="1"/>
      <c r="F35" s="1"/>
      <c r="G35" s="1"/>
      <c r="H35" s="4">
        <f t="shared" si="0"/>
        <v>40540.222222222328</v>
      </c>
      <c r="I35" s="4">
        <f t="shared" si="1"/>
        <v>40541.222222222328</v>
      </c>
      <c r="J35" s="4">
        <f t="shared" si="2"/>
        <v>40542.222222222328</v>
      </c>
      <c r="K35" s="4">
        <f t="shared" si="3"/>
        <v>40543.222222222328</v>
      </c>
      <c r="L35" s="4">
        <f t="shared" si="4"/>
        <v>40544.222222222328</v>
      </c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35">
      <c r="A36" s="1"/>
      <c r="B36" s="1"/>
      <c r="C36" s="1"/>
      <c r="D36" s="1"/>
      <c r="E36" s="1"/>
      <c r="F36" s="1"/>
      <c r="G36" s="1"/>
      <c r="H36" s="4">
        <f t="shared" ref="H36:H53" si="5">H35+TIME(0,$C$2,0)</f>
        <v>40540.250000000109</v>
      </c>
      <c r="I36" s="4">
        <f t="shared" ref="I36:I53" si="6">I35+TIME(0,$C$2,0)</f>
        <v>40541.250000000109</v>
      </c>
      <c r="J36" s="4">
        <f t="shared" ref="J36:J53" si="7">J35+TIME(0,$C$2,0)</f>
        <v>40542.250000000109</v>
      </c>
      <c r="K36" s="4">
        <f t="shared" ref="K36:K53" si="8">K35+TIME(0,$C$2,0)</f>
        <v>40543.250000000109</v>
      </c>
      <c r="L36" s="4">
        <f t="shared" ref="L36:L53" si="9">L35+TIME(0,$C$2,0)</f>
        <v>40544.250000000109</v>
      </c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5">
      <c r="A37" s="1"/>
      <c r="B37" s="1"/>
      <c r="C37" s="1"/>
      <c r="D37" s="1"/>
      <c r="E37" s="1"/>
      <c r="F37" s="1"/>
      <c r="G37" s="1"/>
      <c r="H37" s="4">
        <f t="shared" si="5"/>
        <v>40540.27777777789</v>
      </c>
      <c r="I37" s="4">
        <f t="shared" si="6"/>
        <v>40541.27777777789</v>
      </c>
      <c r="J37" s="4">
        <f t="shared" si="7"/>
        <v>40542.27777777789</v>
      </c>
      <c r="K37" s="4">
        <f t="shared" si="8"/>
        <v>40543.27777777789</v>
      </c>
      <c r="L37" s="4">
        <f t="shared" si="9"/>
        <v>40544.27777777789</v>
      </c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35">
      <c r="H38" s="4">
        <f t="shared" si="5"/>
        <v>40540.305555555671</v>
      </c>
      <c r="I38" s="4">
        <f t="shared" si="6"/>
        <v>40541.305555555671</v>
      </c>
      <c r="J38" s="4">
        <f t="shared" si="7"/>
        <v>40542.305555555671</v>
      </c>
      <c r="K38" s="4">
        <f t="shared" si="8"/>
        <v>40543.305555555671</v>
      </c>
      <c r="L38" s="4">
        <f t="shared" si="9"/>
        <v>40544.305555555671</v>
      </c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5">
      <c r="H39" s="4">
        <f t="shared" si="5"/>
        <v>40540.333333333452</v>
      </c>
      <c r="I39" s="4">
        <f t="shared" si="6"/>
        <v>40541.333333333452</v>
      </c>
      <c r="J39" s="4">
        <f t="shared" si="7"/>
        <v>40542.333333333452</v>
      </c>
      <c r="K39" s="4">
        <f t="shared" si="8"/>
        <v>40543.333333333452</v>
      </c>
      <c r="L39" s="4">
        <f t="shared" si="9"/>
        <v>40544.333333333452</v>
      </c>
      <c r="M39" s="6"/>
      <c r="N39" s="6"/>
      <c r="O39" s="1"/>
      <c r="P39" s="1"/>
      <c r="Q39" s="1"/>
      <c r="R39" s="1"/>
    </row>
    <row r="40" spans="1:30" x14ac:dyDescent="0.35">
      <c r="H40" s="4">
        <f t="shared" si="5"/>
        <v>40540.361111111233</v>
      </c>
      <c r="I40" s="4">
        <f t="shared" si="6"/>
        <v>40541.361111111233</v>
      </c>
      <c r="J40" s="4">
        <f t="shared" si="7"/>
        <v>40542.361111111233</v>
      </c>
      <c r="K40" s="4">
        <f t="shared" si="8"/>
        <v>40543.361111111233</v>
      </c>
      <c r="L40" s="4">
        <f t="shared" si="9"/>
        <v>40544.361111111233</v>
      </c>
      <c r="M40" s="6"/>
      <c r="N40" s="6"/>
      <c r="O40" s="1"/>
      <c r="P40" s="1"/>
      <c r="Q40" s="1"/>
      <c r="R40" s="1"/>
    </row>
    <row r="41" spans="1:30" x14ac:dyDescent="0.35">
      <c r="H41" s="4">
        <f t="shared" si="5"/>
        <v>40540.388888889014</v>
      </c>
      <c r="I41" s="4">
        <f t="shared" si="6"/>
        <v>40541.388888889014</v>
      </c>
      <c r="J41" s="4">
        <f t="shared" si="7"/>
        <v>40542.388888889014</v>
      </c>
      <c r="K41" s="4">
        <f t="shared" si="8"/>
        <v>40543.388888889014</v>
      </c>
      <c r="L41" s="4">
        <f t="shared" si="9"/>
        <v>40544.388888889014</v>
      </c>
      <c r="M41" s="6"/>
      <c r="N41" s="6"/>
      <c r="O41" s="1"/>
      <c r="P41" s="1"/>
      <c r="Q41" s="1"/>
      <c r="R41" s="1"/>
    </row>
    <row r="42" spans="1:30" x14ac:dyDescent="0.35">
      <c r="H42" s="4">
        <f t="shared" si="5"/>
        <v>40540.416666666795</v>
      </c>
      <c r="I42" s="4">
        <f t="shared" si="6"/>
        <v>40541.416666666795</v>
      </c>
      <c r="J42" s="4">
        <f t="shared" si="7"/>
        <v>40542.416666666795</v>
      </c>
      <c r="K42" s="4">
        <f t="shared" si="8"/>
        <v>40543.416666666795</v>
      </c>
      <c r="L42" s="4">
        <f t="shared" si="9"/>
        <v>40544.416666666795</v>
      </c>
      <c r="M42" s="6"/>
      <c r="N42" s="6"/>
      <c r="O42" s="1"/>
      <c r="P42" s="1"/>
      <c r="Q42" s="1"/>
      <c r="R42" s="1"/>
    </row>
    <row r="43" spans="1:30" x14ac:dyDescent="0.35">
      <c r="H43" s="4">
        <f t="shared" si="5"/>
        <v>40540.444444444576</v>
      </c>
      <c r="I43" s="4">
        <f t="shared" si="6"/>
        <v>40541.444444444576</v>
      </c>
      <c r="J43" s="4">
        <f t="shared" si="7"/>
        <v>40542.444444444576</v>
      </c>
      <c r="K43" s="4">
        <f t="shared" si="8"/>
        <v>40543.444444444576</v>
      </c>
      <c r="L43" s="4">
        <f t="shared" si="9"/>
        <v>40544.444444444576</v>
      </c>
      <c r="M43" s="6"/>
      <c r="N43" s="6"/>
      <c r="O43" s="1"/>
      <c r="P43" s="1"/>
      <c r="Q43" s="1"/>
      <c r="R43" s="1"/>
    </row>
    <row r="44" spans="1:30" x14ac:dyDescent="0.35">
      <c r="H44" s="4">
        <f t="shared" si="5"/>
        <v>40540.472222222357</v>
      </c>
      <c r="I44" s="4">
        <f t="shared" si="6"/>
        <v>40541.472222222357</v>
      </c>
      <c r="J44" s="4">
        <f t="shared" si="7"/>
        <v>40542.472222222357</v>
      </c>
      <c r="K44" s="4">
        <f t="shared" si="8"/>
        <v>40543.472222222357</v>
      </c>
      <c r="L44" s="4">
        <f t="shared" si="9"/>
        <v>40544.472222222357</v>
      </c>
      <c r="M44" s="6"/>
      <c r="N44" s="6"/>
      <c r="O44" s="1"/>
      <c r="P44" s="1"/>
      <c r="Q44" s="1"/>
      <c r="R44" s="1"/>
    </row>
    <row r="45" spans="1:30" x14ac:dyDescent="0.35">
      <c r="H45" s="4">
        <f t="shared" si="5"/>
        <v>40540.500000000138</v>
      </c>
      <c r="I45" s="4">
        <f t="shared" si="6"/>
        <v>40541.500000000138</v>
      </c>
      <c r="J45" s="4">
        <f t="shared" si="7"/>
        <v>40542.500000000138</v>
      </c>
      <c r="K45" s="4">
        <f t="shared" si="8"/>
        <v>40543.500000000138</v>
      </c>
      <c r="L45" s="4">
        <f t="shared" si="9"/>
        <v>40544.500000000138</v>
      </c>
      <c r="M45" s="6"/>
      <c r="N45" s="6"/>
      <c r="O45" s="1"/>
      <c r="P45" s="1"/>
      <c r="Q45" s="1"/>
      <c r="R45" s="1"/>
    </row>
    <row r="46" spans="1:30" x14ac:dyDescent="0.35">
      <c r="H46" s="4">
        <f t="shared" si="5"/>
        <v>40540.527777777919</v>
      </c>
      <c r="I46" s="4">
        <f t="shared" si="6"/>
        <v>40541.527777777919</v>
      </c>
      <c r="J46" s="4">
        <f t="shared" si="7"/>
        <v>40542.527777777919</v>
      </c>
      <c r="K46" s="4">
        <f t="shared" si="8"/>
        <v>40543.527777777919</v>
      </c>
      <c r="L46" s="4">
        <f t="shared" si="9"/>
        <v>40544.527777777919</v>
      </c>
      <c r="M46" s="6"/>
      <c r="N46" s="6"/>
      <c r="O46" s="1"/>
      <c r="P46" s="1"/>
      <c r="Q46" s="1"/>
      <c r="R46" s="1"/>
    </row>
    <row r="47" spans="1:30" x14ac:dyDescent="0.35">
      <c r="H47" s="4">
        <f t="shared" si="5"/>
        <v>40540.5555555557</v>
      </c>
      <c r="I47" s="4">
        <f t="shared" si="6"/>
        <v>40541.5555555557</v>
      </c>
      <c r="J47" s="4">
        <f t="shared" si="7"/>
        <v>40542.5555555557</v>
      </c>
      <c r="K47" s="4">
        <f t="shared" si="8"/>
        <v>40543.5555555557</v>
      </c>
      <c r="L47" s="4">
        <f t="shared" si="9"/>
        <v>40544.5555555557</v>
      </c>
      <c r="M47" s="6"/>
      <c r="N47" s="6"/>
      <c r="O47" s="1"/>
      <c r="P47" s="1"/>
      <c r="Q47" s="1"/>
      <c r="R47" s="1"/>
    </row>
    <row r="48" spans="1:30" x14ac:dyDescent="0.35">
      <c r="H48" s="4">
        <f t="shared" si="5"/>
        <v>40540.583333333481</v>
      </c>
      <c r="I48" s="4">
        <f t="shared" si="6"/>
        <v>40541.583333333481</v>
      </c>
      <c r="J48" s="4">
        <f t="shared" si="7"/>
        <v>40542.583333333481</v>
      </c>
      <c r="K48" s="4">
        <f t="shared" si="8"/>
        <v>40543.583333333481</v>
      </c>
      <c r="L48" s="4">
        <f t="shared" si="9"/>
        <v>40544.583333333481</v>
      </c>
      <c r="M48" s="6"/>
      <c r="N48" s="6"/>
      <c r="O48" s="1"/>
      <c r="P48" s="1"/>
      <c r="Q48" s="1"/>
      <c r="R48" s="1"/>
    </row>
    <row r="49" spans="8:18" x14ac:dyDescent="0.35">
      <c r="H49" s="4">
        <f t="shared" si="5"/>
        <v>40540.611111111262</v>
      </c>
      <c r="I49" s="4">
        <f t="shared" si="6"/>
        <v>40541.611111111262</v>
      </c>
      <c r="J49" s="4">
        <f t="shared" si="7"/>
        <v>40542.611111111262</v>
      </c>
      <c r="K49" s="4">
        <f t="shared" si="8"/>
        <v>40543.611111111262</v>
      </c>
      <c r="L49" s="4">
        <f t="shared" si="9"/>
        <v>40544.611111111262</v>
      </c>
      <c r="M49" s="6"/>
      <c r="N49" s="6"/>
      <c r="O49" s="1"/>
      <c r="P49" s="1"/>
      <c r="Q49" s="1"/>
      <c r="R49" s="1"/>
    </row>
    <row r="50" spans="8:18" x14ac:dyDescent="0.35">
      <c r="H50" s="4">
        <f t="shared" si="5"/>
        <v>40540.638888889043</v>
      </c>
      <c r="I50" s="4">
        <f t="shared" si="6"/>
        <v>40541.638888889043</v>
      </c>
      <c r="J50" s="4">
        <f t="shared" si="7"/>
        <v>40542.638888889043</v>
      </c>
      <c r="K50" s="4">
        <f t="shared" si="8"/>
        <v>40543.638888889043</v>
      </c>
      <c r="L50" s="4">
        <f t="shared" si="9"/>
        <v>40544.638888889043</v>
      </c>
      <c r="M50" s="6"/>
      <c r="N50" s="6"/>
      <c r="O50" s="1"/>
      <c r="P50" s="1"/>
      <c r="Q50" s="1"/>
      <c r="R50" s="1"/>
    </row>
    <row r="51" spans="8:18" x14ac:dyDescent="0.35">
      <c r="H51" s="4">
        <f t="shared" si="5"/>
        <v>40540.666666666824</v>
      </c>
      <c r="I51" s="4">
        <f t="shared" si="6"/>
        <v>40541.666666666824</v>
      </c>
      <c r="J51" s="4">
        <f t="shared" si="7"/>
        <v>40542.666666666824</v>
      </c>
      <c r="K51" s="4">
        <f t="shared" si="8"/>
        <v>40543.666666666824</v>
      </c>
      <c r="L51" s="4">
        <f t="shared" si="9"/>
        <v>40544.666666666824</v>
      </c>
      <c r="M51" s="6"/>
      <c r="N51" s="6"/>
      <c r="O51" s="1"/>
      <c r="P51" s="1"/>
      <c r="Q51" s="1"/>
      <c r="R51" s="1"/>
    </row>
    <row r="52" spans="8:18" x14ac:dyDescent="0.35">
      <c r="H52" s="4">
        <f t="shared" si="5"/>
        <v>40540.694444444605</v>
      </c>
      <c r="I52" s="4">
        <f t="shared" si="6"/>
        <v>40541.694444444605</v>
      </c>
      <c r="J52" s="4">
        <f t="shared" si="7"/>
        <v>40542.694444444605</v>
      </c>
      <c r="K52" s="4">
        <f t="shared" si="8"/>
        <v>40543.694444444605</v>
      </c>
      <c r="L52" s="4">
        <f t="shared" si="9"/>
        <v>40544.694444444605</v>
      </c>
      <c r="M52" s="6"/>
      <c r="N52" s="6"/>
      <c r="O52" s="1"/>
      <c r="P52" s="1"/>
      <c r="Q52" s="1"/>
      <c r="R52" s="1"/>
    </row>
    <row r="53" spans="8:18" x14ac:dyDescent="0.35">
      <c r="H53" s="4">
        <f t="shared" si="5"/>
        <v>40540.722222222386</v>
      </c>
      <c r="I53" s="4">
        <f t="shared" si="6"/>
        <v>40541.722222222386</v>
      </c>
      <c r="J53" s="4">
        <f t="shared" si="7"/>
        <v>40542.722222222386</v>
      </c>
      <c r="K53" s="4">
        <f t="shared" si="8"/>
        <v>40543.722222222386</v>
      </c>
      <c r="L53" s="4">
        <f t="shared" si="9"/>
        <v>40544.722222222386</v>
      </c>
      <c r="M53" s="6"/>
      <c r="N53" s="6"/>
      <c r="O53" s="1"/>
      <c r="P53" s="1"/>
      <c r="Q53" s="1"/>
      <c r="R53" s="1"/>
    </row>
    <row r="54" spans="8:18" x14ac:dyDescent="0.35">
      <c r="H54" s="4"/>
      <c r="I54" s="4"/>
      <c r="J54" s="4"/>
      <c r="K54" s="4"/>
      <c r="L54" s="4">
        <f t="shared" ref="L54:L63" si="10">L53+TIME(0,$C$2,0)</f>
        <v>40544.750000000167</v>
      </c>
      <c r="M54" s="6"/>
      <c r="N54" s="6"/>
      <c r="O54" s="1"/>
      <c r="P54" s="1"/>
      <c r="Q54" s="1"/>
      <c r="R54" s="1"/>
    </row>
    <row r="55" spans="8:18" x14ac:dyDescent="0.35">
      <c r="H55" s="4"/>
      <c r="I55" s="4"/>
      <c r="J55" s="4"/>
      <c r="K55" s="4"/>
      <c r="L55" s="4">
        <f t="shared" si="10"/>
        <v>40544.777777777948</v>
      </c>
      <c r="M55" s="6"/>
    </row>
    <row r="56" spans="8:18" x14ac:dyDescent="0.35">
      <c r="H56" s="4"/>
      <c r="I56" s="4"/>
      <c r="J56" s="4"/>
      <c r="K56" s="4"/>
      <c r="L56" s="4">
        <f t="shared" si="10"/>
        <v>40544.805555555729</v>
      </c>
      <c r="M56" s="6"/>
    </row>
    <row r="57" spans="8:18" x14ac:dyDescent="0.35">
      <c r="H57" s="4"/>
      <c r="I57" s="4"/>
      <c r="J57" s="4"/>
      <c r="K57" s="4"/>
      <c r="L57" s="4">
        <f t="shared" si="10"/>
        <v>40544.83333333351</v>
      </c>
      <c r="M57" s="6"/>
    </row>
    <row r="58" spans="8:18" x14ac:dyDescent="0.35">
      <c r="H58" s="4"/>
      <c r="I58" s="4"/>
      <c r="J58" s="4"/>
      <c r="K58" s="4"/>
      <c r="L58" s="4">
        <f t="shared" si="10"/>
        <v>40544.861111111291</v>
      </c>
      <c r="M58" s="6"/>
    </row>
    <row r="59" spans="8:18" x14ac:dyDescent="0.35">
      <c r="H59" s="4"/>
      <c r="I59" s="4"/>
      <c r="J59" s="4"/>
      <c r="K59" s="4"/>
      <c r="L59" s="4">
        <f t="shared" si="10"/>
        <v>40544.888888889072</v>
      </c>
      <c r="M59" s="6"/>
    </row>
    <row r="60" spans="8:18" x14ac:dyDescent="0.35">
      <c r="H60" s="4"/>
      <c r="I60" s="4"/>
      <c r="J60" s="4"/>
      <c r="K60" s="4"/>
      <c r="L60" s="4">
        <f t="shared" si="10"/>
        <v>40544.916666666853</v>
      </c>
      <c r="M60" s="6"/>
    </row>
    <row r="61" spans="8:18" x14ac:dyDescent="0.35">
      <c r="H61" s="4"/>
      <c r="I61" s="4"/>
      <c r="J61" s="4"/>
      <c r="K61" s="4"/>
      <c r="L61" s="4">
        <f t="shared" si="10"/>
        <v>40544.944444444634</v>
      </c>
      <c r="M61" s="6"/>
    </row>
    <row r="62" spans="8:18" x14ac:dyDescent="0.35">
      <c r="H62" s="4"/>
      <c r="I62" s="4"/>
      <c r="J62" s="4"/>
      <c r="K62" s="4"/>
      <c r="L62" s="4">
        <f t="shared" si="10"/>
        <v>40544.972222222415</v>
      </c>
      <c r="M62" s="6"/>
    </row>
    <row r="63" spans="8:18" x14ac:dyDescent="0.35">
      <c r="H63" s="4"/>
      <c r="I63" s="4"/>
      <c r="J63" s="4"/>
      <c r="K63" s="4"/>
      <c r="L63" s="4">
        <f t="shared" si="10"/>
        <v>40545.000000000196</v>
      </c>
      <c r="M63" s="6"/>
    </row>
    <row r="64" spans="8:18" x14ac:dyDescent="0.35">
      <c r="H64" s="4"/>
      <c r="I64" s="1"/>
      <c r="J64" s="4"/>
      <c r="K64" s="1"/>
      <c r="L64" s="1"/>
      <c r="M64" s="6"/>
    </row>
    <row r="65" spans="8:13" x14ac:dyDescent="0.35">
      <c r="H65" s="4"/>
      <c r="I65" s="1"/>
      <c r="J65" s="4"/>
      <c r="K65" s="1"/>
      <c r="L65" s="1"/>
      <c r="M65" s="6"/>
    </row>
    <row r="66" spans="8:13" x14ac:dyDescent="0.35">
      <c r="H66" s="4"/>
      <c r="I66" s="12"/>
      <c r="J66" s="4"/>
      <c r="K66" s="12"/>
      <c r="L66" s="12"/>
    </row>
    <row r="67" spans="8:13" x14ac:dyDescent="0.35">
      <c r="H67" s="4"/>
      <c r="I67" s="13"/>
      <c r="J67" s="4"/>
      <c r="K67" s="13"/>
      <c r="L67" s="13"/>
    </row>
    <row r="68" spans="8:13" x14ac:dyDescent="0.35">
      <c r="H68" s="4"/>
      <c r="J68" s="4"/>
    </row>
    <row r="69" spans="8:13" x14ac:dyDescent="0.35">
      <c r="H69" s="4"/>
      <c r="J69" s="4"/>
    </row>
    <row r="70" spans="8:13" x14ac:dyDescent="0.35">
      <c r="H70" s="4"/>
      <c r="J70" s="4"/>
    </row>
    <row r="71" spans="8:13" x14ac:dyDescent="0.35">
      <c r="H71" s="4"/>
      <c r="J71" s="4"/>
    </row>
    <row r="72" spans="8:13" x14ac:dyDescent="0.35">
      <c r="H72" s="4"/>
      <c r="J72" s="4"/>
    </row>
    <row r="73" spans="8:13" x14ac:dyDescent="0.35">
      <c r="H73" s="4"/>
      <c r="J73" s="4"/>
    </row>
    <row r="74" spans="8:13" x14ac:dyDescent="0.35">
      <c r="H74" s="4"/>
      <c r="J74" s="4"/>
    </row>
    <row r="75" spans="8:13" x14ac:dyDescent="0.35">
      <c r="H75" s="4"/>
      <c r="J75" s="4"/>
    </row>
    <row r="76" spans="8:13" x14ac:dyDescent="0.35">
      <c r="H76" s="4"/>
      <c r="J76" s="4"/>
    </row>
    <row r="77" spans="8:13" x14ac:dyDescent="0.35">
      <c r="H77" s="4"/>
      <c r="J77" s="4"/>
    </row>
    <row r="78" spans="8:13" x14ac:dyDescent="0.35">
      <c r="H78" s="4"/>
      <c r="J78" s="4"/>
    </row>
    <row r="79" spans="8:13" x14ac:dyDescent="0.35">
      <c r="H79" s="4"/>
      <c r="J79" s="4"/>
    </row>
    <row r="80" spans="8:13" x14ac:dyDescent="0.35">
      <c r="H80" s="4"/>
      <c r="J80" s="4"/>
    </row>
    <row r="81" spans="8:10" x14ac:dyDescent="0.35">
      <c r="H81" s="4"/>
      <c r="J81" s="4"/>
    </row>
    <row r="82" spans="8:10" x14ac:dyDescent="0.35">
      <c r="H82" s="4"/>
      <c r="J82" s="4"/>
    </row>
    <row r="83" spans="8:10" x14ac:dyDescent="0.35">
      <c r="H83" s="4"/>
      <c r="J83" s="4"/>
    </row>
    <row r="84" spans="8:10" x14ac:dyDescent="0.35">
      <c r="H84" s="4"/>
      <c r="J84" s="4"/>
    </row>
    <row r="85" spans="8:10" x14ac:dyDescent="0.35">
      <c r="H85" s="4"/>
      <c r="J85" s="4"/>
    </row>
    <row r="86" spans="8:10" x14ac:dyDescent="0.35">
      <c r="H86" s="4"/>
      <c r="J86" s="4"/>
    </row>
    <row r="87" spans="8:10" x14ac:dyDescent="0.35">
      <c r="H87" s="4"/>
      <c r="J87" s="4"/>
    </row>
  </sheetData>
  <dataValidations count="4">
    <dataValidation type="list" allowBlank="1" showInputMessage="1" showErrorMessage="1" sqref="C3" xr:uid="{C96CE044-D1A7-4487-B1B7-849AFEF3E1C0}">
      <formula1>$N$2:$N$7</formula1>
    </dataValidation>
    <dataValidation type="list" allowBlank="1" showInputMessage="1" showErrorMessage="1" sqref="C4" xr:uid="{A190603B-8F23-45ED-A853-A5C89C46B75B}">
      <formula1>$O$2:$O$20</formula1>
    </dataValidation>
    <dataValidation type="list" allowBlank="1" showErrorMessage="1" prompt="Enter Start Time" sqref="F2:F3 F6:F7 F10:F11 F14:F15 F18:F19" xr:uid="{CD56F5C1-6D39-44F9-BB24-EF387809E616}">
      <formula1>$H$2:$H$60</formula1>
    </dataValidation>
    <dataValidation type="list" allowBlank="1" showInputMessage="1" showErrorMessage="1" sqref="C2" xr:uid="{BF0034A1-3D44-4F59-891D-857D877F0C48}">
      <formula1>$M$2:$M$9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9E7C-242E-4E0C-B339-BAEC485E40BC}">
  <sheetPr codeName="Sheet4"/>
  <dimension ref="A1:AI98"/>
  <sheetViews>
    <sheetView tabSelected="1" zoomScale="85" zoomScaleNormal="85" workbookViewId="0">
      <selection activeCell="E15" sqref="E15"/>
    </sheetView>
  </sheetViews>
  <sheetFormatPr defaultRowHeight="14.5" x14ac:dyDescent="0.35"/>
  <cols>
    <col min="1" max="1" width="3.08984375" customWidth="1"/>
    <col min="2" max="2" width="30.36328125" customWidth="1"/>
    <col min="3" max="3" width="10" customWidth="1"/>
    <col min="4" max="4" width="3.26953125" customWidth="1"/>
    <col min="5" max="5" width="22.26953125" bestFit="1" customWidth="1"/>
    <col min="6" max="6" width="14.36328125" customWidth="1"/>
    <col min="7" max="7" width="2.453125" customWidth="1"/>
    <col min="8" max="8" width="22.26953125" bestFit="1" customWidth="1"/>
    <col min="9" max="9" width="14.08984375" bestFit="1" customWidth="1"/>
    <col min="10" max="10" width="2.26953125" customWidth="1"/>
    <col min="11" max="11" width="22.26953125" bestFit="1" customWidth="1"/>
    <col min="12" max="12" width="14.08984375" bestFit="1" customWidth="1"/>
    <col min="13" max="13" width="3" customWidth="1"/>
    <col min="14" max="14" width="12.81640625" hidden="1" customWidth="1"/>
    <col min="15" max="15" width="13.26953125" hidden="1" customWidth="1"/>
    <col min="16" max="16" width="14.08984375" hidden="1" customWidth="1"/>
    <col min="17" max="17" width="13.1796875" hidden="1" customWidth="1"/>
    <col min="18" max="18" width="11.26953125" hidden="1" customWidth="1"/>
    <col min="19" max="19" width="11.08984375" hidden="1" customWidth="1"/>
    <col min="20" max="21" width="8.7265625" customWidth="1"/>
    <col min="22" max="22" width="34.81640625" customWidth="1"/>
  </cols>
  <sheetData>
    <row r="1" spans="1:35" ht="14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11</v>
      </c>
      <c r="O1" s="2" t="s">
        <v>0</v>
      </c>
      <c r="P1" s="2" t="s">
        <v>1</v>
      </c>
      <c r="Q1" s="3" t="s">
        <v>2</v>
      </c>
      <c r="R1" s="2" t="s">
        <v>16</v>
      </c>
      <c r="S1" s="3" t="s">
        <v>15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5" customHeight="1" x14ac:dyDescent="0.35">
      <c r="A2" s="1"/>
      <c r="B2" s="34" t="s">
        <v>30</v>
      </c>
      <c r="C2" s="36" t="s">
        <v>15</v>
      </c>
      <c r="D2" s="1"/>
      <c r="E2" s="80" t="str">
        <f>IF(B3="","",B3)</f>
        <v>Gerringong</v>
      </c>
      <c r="F2" s="81"/>
      <c r="G2" s="1"/>
      <c r="H2" s="80" t="str">
        <f>IF(B4="","",B4)</f>
        <v>North Nowra</v>
      </c>
      <c r="I2" s="81"/>
      <c r="J2" s="1"/>
      <c r="K2" s="80" t="str">
        <f>IF(B5="","",$B$5)</f>
        <v>Bomaderry</v>
      </c>
      <c r="L2" s="81"/>
      <c r="M2" s="1"/>
      <c r="N2" s="4"/>
      <c r="O2" s="4"/>
      <c r="P2" s="4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4.5" customHeight="1" x14ac:dyDescent="0.35">
      <c r="A3" s="1"/>
      <c r="B3" s="57" t="s">
        <v>33</v>
      </c>
      <c r="C3" s="60">
        <v>2</v>
      </c>
      <c r="D3" s="1"/>
      <c r="E3" s="19" t="s">
        <v>9</v>
      </c>
      <c r="F3" s="7">
        <v>40543.333333333336</v>
      </c>
      <c r="G3" s="1"/>
      <c r="H3" s="19" t="s">
        <v>9</v>
      </c>
      <c r="I3" s="7">
        <v>40543.333333333336</v>
      </c>
      <c r="J3" s="1"/>
      <c r="K3" s="19" t="s">
        <v>9</v>
      </c>
      <c r="L3" s="7">
        <v>40543.333333333336</v>
      </c>
      <c r="M3" s="1"/>
      <c r="N3" s="4">
        <v>40543.333333333336</v>
      </c>
      <c r="O3" s="4">
        <v>40544.333333333336</v>
      </c>
      <c r="P3" s="4">
        <v>40545.333333333198</v>
      </c>
      <c r="Q3" s="5">
        <v>15</v>
      </c>
      <c r="R3" s="5">
        <v>1</v>
      </c>
      <c r="S3" s="5">
        <v>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4.5" customHeight="1" x14ac:dyDescent="0.35">
      <c r="A4" s="1"/>
      <c r="B4" s="58" t="s">
        <v>34</v>
      </c>
      <c r="C4" s="61">
        <v>2</v>
      </c>
      <c r="D4" s="1"/>
      <c r="E4" s="20" t="s">
        <v>10</v>
      </c>
      <c r="F4" s="8">
        <v>40543.416666666679</v>
      </c>
      <c r="G4" s="1"/>
      <c r="H4" s="20" t="s">
        <v>10</v>
      </c>
      <c r="I4" s="8">
        <v>40543.416666666679</v>
      </c>
      <c r="J4" s="1"/>
      <c r="K4" s="20" t="s">
        <v>10</v>
      </c>
      <c r="L4" s="8">
        <v>40543.416666666679</v>
      </c>
      <c r="M4" s="1"/>
      <c r="N4" s="4">
        <f>N3+TIME(0,$C$8,0)</f>
        <v>40543.375</v>
      </c>
      <c r="O4" s="4">
        <f t="shared" ref="O4:O35" si="0">O3+TIME(0,$C$8,0)</f>
        <v>40544.375</v>
      </c>
      <c r="P4" s="4">
        <f t="shared" ref="P4:P35" si="1">P3+TIME(0,$C$8,0)</f>
        <v>40545.374999999862</v>
      </c>
      <c r="Q4" s="5">
        <v>20</v>
      </c>
      <c r="R4" s="5">
        <v>2</v>
      </c>
      <c r="S4" s="5">
        <v>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4.5" customHeight="1" x14ac:dyDescent="0.35">
      <c r="A5" s="1"/>
      <c r="B5" s="59" t="s">
        <v>44</v>
      </c>
      <c r="C5" s="32">
        <v>1</v>
      </c>
      <c r="D5" s="1"/>
      <c r="E5" s="21" t="s">
        <v>12</v>
      </c>
      <c r="F5" s="14">
        <f>IF(F4-F3&lt;0,0,IF(F4+F3=0,0,IF(F3="","",((F4-F3)*1440)/60)))</f>
        <v>2.0000000002328306</v>
      </c>
      <c r="G5" s="1"/>
      <c r="H5" s="21" t="s">
        <v>12</v>
      </c>
      <c r="I5" s="14">
        <f>IF(I4-I3&lt;0,"",IF(I4+I3=0,0,IF(I3="",0,((I4-I3)*1440)/60)))</f>
        <v>2.0000000002328306</v>
      </c>
      <c r="J5" s="1"/>
      <c r="K5" s="21" t="s">
        <v>12</v>
      </c>
      <c r="L5" s="14">
        <f>IF(L4-L3&lt;0,0,IF(L4+L3=0,0,IF(L3="",0,((L4-L3)*1440)/60)))</f>
        <v>2.0000000002328306</v>
      </c>
      <c r="M5" s="1"/>
      <c r="N5" s="4">
        <f t="shared" ref="N5:N35" si="2">N4+TIME(0,$C$8,0)</f>
        <v>40543.416666666664</v>
      </c>
      <c r="O5" s="4">
        <f t="shared" si="0"/>
        <v>40544.416666666664</v>
      </c>
      <c r="P5" s="4">
        <f t="shared" si="1"/>
        <v>40545.416666666526</v>
      </c>
      <c r="Q5" s="5">
        <v>25</v>
      </c>
      <c r="R5" s="5">
        <v>3</v>
      </c>
      <c r="S5" s="5">
        <v>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4.5" customHeight="1" x14ac:dyDescent="0.35">
      <c r="A6" s="1"/>
      <c r="D6" s="1"/>
      <c r="E6" s="22"/>
      <c r="F6" s="1"/>
      <c r="G6" s="1"/>
      <c r="H6" s="22"/>
      <c r="I6" s="1"/>
      <c r="J6" s="1"/>
      <c r="K6" s="22"/>
      <c r="L6" s="1"/>
      <c r="M6" s="1"/>
      <c r="N6" s="4">
        <f t="shared" si="2"/>
        <v>40543.458333333328</v>
      </c>
      <c r="O6" s="4">
        <f t="shared" si="0"/>
        <v>40544.458333333328</v>
      </c>
      <c r="P6" s="4">
        <f t="shared" si="1"/>
        <v>40545.45833333319</v>
      </c>
      <c r="Q6" s="5">
        <v>30</v>
      </c>
      <c r="R6" s="5">
        <v>4</v>
      </c>
      <c r="S6" s="5">
        <v>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4.5" customHeight="1" x14ac:dyDescent="0.35">
      <c r="A7" s="1"/>
      <c r="B7" s="63" t="s">
        <v>7</v>
      </c>
      <c r="C7" s="62">
        <f>IF(SUM(C3:C5)=0,"",SUM(C3:C5))</f>
        <v>5</v>
      </c>
      <c r="D7" s="1"/>
      <c r="E7" s="19" t="s">
        <v>8</v>
      </c>
      <c r="F7" s="7">
        <v>40544.333333333336</v>
      </c>
      <c r="G7" s="1"/>
      <c r="H7" s="19" t="s">
        <v>8</v>
      </c>
      <c r="I7" s="7">
        <v>40544.333333333336</v>
      </c>
      <c r="J7" s="1"/>
      <c r="K7" s="19" t="s">
        <v>8</v>
      </c>
      <c r="L7" s="7">
        <v>40544.333333333336</v>
      </c>
      <c r="M7" s="1"/>
      <c r="N7" s="4">
        <f t="shared" si="2"/>
        <v>40543.499999999993</v>
      </c>
      <c r="O7" s="4">
        <f t="shared" si="0"/>
        <v>40544.499999999993</v>
      </c>
      <c r="P7" s="4">
        <f t="shared" si="1"/>
        <v>40545.499999999854</v>
      </c>
      <c r="Q7" s="31">
        <v>35</v>
      </c>
      <c r="R7" s="5">
        <v>5</v>
      </c>
      <c r="S7" s="5">
        <v>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4.5" customHeight="1" x14ac:dyDescent="0.35">
      <c r="A8" s="1"/>
      <c r="B8" s="26" t="s">
        <v>6</v>
      </c>
      <c r="C8" s="16">
        <v>60</v>
      </c>
      <c r="D8" s="1"/>
      <c r="E8" s="20" t="s">
        <v>4</v>
      </c>
      <c r="F8" s="8">
        <v>40544.416666666679</v>
      </c>
      <c r="G8" s="1"/>
      <c r="H8" s="20" t="s">
        <v>4</v>
      </c>
      <c r="I8" s="8">
        <v>40544.416666666679</v>
      </c>
      <c r="J8" s="1"/>
      <c r="K8" s="20" t="s">
        <v>4</v>
      </c>
      <c r="L8" s="8">
        <v>40544.416666666679</v>
      </c>
      <c r="M8" s="1"/>
      <c r="N8" s="4">
        <f t="shared" si="2"/>
        <v>40543.541666666657</v>
      </c>
      <c r="O8" s="4">
        <f t="shared" si="0"/>
        <v>40544.541666666657</v>
      </c>
      <c r="P8" s="4">
        <f t="shared" si="1"/>
        <v>40545.541666666519</v>
      </c>
      <c r="Q8" s="5">
        <v>40</v>
      </c>
      <c r="R8" s="6"/>
      <c r="S8" s="5">
        <v>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5" customHeight="1" x14ac:dyDescent="0.35">
      <c r="A9" s="1"/>
      <c r="B9" s="27" t="s">
        <v>13</v>
      </c>
      <c r="C9" s="33">
        <v>3</v>
      </c>
      <c r="D9" s="1"/>
      <c r="E9" s="21" t="s">
        <v>12</v>
      </c>
      <c r="F9" s="14">
        <f>IF(F8-F7&lt;0,0,IF(F8+F7=0,0,IF(F7="",0,((F8-F7)*1440)/60)))</f>
        <v>2.0000000002328306</v>
      </c>
      <c r="G9" s="1"/>
      <c r="H9" s="21" t="s">
        <v>12</v>
      </c>
      <c r="I9" s="14">
        <f>IF(I8-I7&lt;0,0,IF(I8+I7=0,0,IF(I7="",0,((I8-I7)*1440)/60)))</f>
        <v>2.0000000002328306</v>
      </c>
      <c r="J9" s="1"/>
      <c r="K9" s="21" t="s">
        <v>12</v>
      </c>
      <c r="L9" s="14">
        <f>IF(L8-L7&lt;0,0,IF(L8+L7=0,0,IF(L7="",0,((L8-L7)*1440)/60)))</f>
        <v>2.0000000002328306</v>
      </c>
      <c r="M9" s="1"/>
      <c r="N9" s="4">
        <f t="shared" si="2"/>
        <v>40543.583333333321</v>
      </c>
      <c r="O9" s="4">
        <f t="shared" si="0"/>
        <v>40544.583333333321</v>
      </c>
      <c r="P9" s="4">
        <f t="shared" si="1"/>
        <v>40545.583333333183</v>
      </c>
      <c r="Q9" s="5">
        <v>45</v>
      </c>
      <c r="R9" s="6"/>
      <c r="S9" s="5">
        <v>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4.5" customHeight="1" x14ac:dyDescent="0.35">
      <c r="A10" s="1"/>
      <c r="B10" s="1"/>
      <c r="C10" s="1"/>
      <c r="D10" s="1"/>
      <c r="E10" s="23"/>
      <c r="G10" s="1"/>
      <c r="H10" s="23"/>
      <c r="J10" s="1"/>
      <c r="K10" s="23"/>
      <c r="M10" s="1"/>
      <c r="N10" s="4">
        <f t="shared" si="2"/>
        <v>40543.624999999985</v>
      </c>
      <c r="O10" s="4">
        <f t="shared" si="0"/>
        <v>40544.624999999985</v>
      </c>
      <c r="P10" s="4">
        <f t="shared" si="1"/>
        <v>40545.624999999847</v>
      </c>
      <c r="Q10" s="31">
        <v>60</v>
      </c>
      <c r="R10" s="6"/>
      <c r="S10" s="5">
        <v>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4.5" customHeight="1" x14ac:dyDescent="0.35">
      <c r="A11" s="1"/>
      <c r="B11" s="9" t="str">
        <f>"No. matches per hour per court"</f>
        <v>No. matches per hour per court</v>
      </c>
      <c r="C11" s="10">
        <f>IF(C8="","",IF(C7="","",60/C8))</f>
        <v>1</v>
      </c>
      <c r="D11" s="1"/>
      <c r="E11" s="24" t="s">
        <v>3</v>
      </c>
      <c r="F11" s="7">
        <v>40545.333333333198</v>
      </c>
      <c r="G11" s="1"/>
      <c r="H11" s="24" t="s">
        <v>3</v>
      </c>
      <c r="I11" s="7">
        <v>40545.333333333198</v>
      </c>
      <c r="J11" s="1"/>
      <c r="K11" s="24" t="s">
        <v>3</v>
      </c>
      <c r="L11" s="7">
        <v>40545.333333333198</v>
      </c>
      <c r="M11" s="1"/>
      <c r="N11" s="4">
        <f t="shared" si="2"/>
        <v>40543.66666666665</v>
      </c>
      <c r="O11" s="4">
        <f t="shared" si="0"/>
        <v>40544.66666666665</v>
      </c>
      <c r="P11" s="4">
        <f t="shared" si="1"/>
        <v>40545.666666666511</v>
      </c>
      <c r="Q11" s="31">
        <v>100</v>
      </c>
      <c r="R11" s="6"/>
      <c r="S11" s="5">
        <v>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4.5" customHeight="1" x14ac:dyDescent="0.35">
      <c r="A12" s="1"/>
      <c r="B12" s="15" t="str">
        <f>IF(AND(F5=0,I5=0,L5=0),"","Max. no. matches possible Fri")</f>
        <v>Max. no. matches possible Fri</v>
      </c>
      <c r="C12" s="11">
        <f>IF((F16+I16+L16)=0,"",(F16+I16+L16))</f>
        <v>10.000000001164153</v>
      </c>
      <c r="D12" s="1"/>
      <c r="E12" s="25" t="s">
        <v>5</v>
      </c>
      <c r="F12" s="8">
        <v>40545.416666666541</v>
      </c>
      <c r="G12" s="1"/>
      <c r="H12" s="25" t="s">
        <v>5</v>
      </c>
      <c r="I12" s="8">
        <v>40545.416666666541</v>
      </c>
      <c r="J12" s="1"/>
      <c r="K12" s="25" t="s">
        <v>5</v>
      </c>
      <c r="L12" s="8">
        <v>40545.416666666541</v>
      </c>
      <c r="M12" s="1"/>
      <c r="N12" s="4">
        <f t="shared" si="2"/>
        <v>40543.708333333314</v>
      </c>
      <c r="O12" s="4">
        <f t="shared" si="0"/>
        <v>40544.708333333314</v>
      </c>
      <c r="P12" s="4">
        <f t="shared" si="1"/>
        <v>40545.708333333176</v>
      </c>
      <c r="Q12" s="5">
        <v>120</v>
      </c>
      <c r="R12" s="6"/>
      <c r="S12" s="5">
        <v>10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4.5" customHeight="1" x14ac:dyDescent="0.35">
      <c r="A13" s="1"/>
      <c r="B13" s="15" t="str">
        <f>IF(AND(F9=0,I9=0,L9=0),"","Max. no. matches possible Sat")</f>
        <v>Max. no. matches possible Sat</v>
      </c>
      <c r="C13" s="11">
        <f>IF((F17+I17+L17)=0,"",(F17+I17+L17))</f>
        <v>10.000000001164153</v>
      </c>
      <c r="D13" s="1"/>
      <c r="E13" s="21" t="s">
        <v>12</v>
      </c>
      <c r="F13" s="14">
        <f>IF(F12-F11&lt;0,0,IF(F12+F11=0,0,IF(F11="",0,((F12-F11)*1440)/60)))</f>
        <v>2.0000000002328306</v>
      </c>
      <c r="G13" s="1"/>
      <c r="H13" s="21" t="s">
        <v>12</v>
      </c>
      <c r="I13" s="14">
        <f>IF(I12-I11&lt;0,0,IF(I12+I11=0,0,IF(I11="",0,((I12-I11)*1440)/60)))</f>
        <v>2.0000000002328306</v>
      </c>
      <c r="J13" s="1"/>
      <c r="K13" s="21" t="s">
        <v>12</v>
      </c>
      <c r="L13" s="14">
        <f>IF(L12-L11&lt;0,0,IF(L12+L11=0,0,IF(L11="",0,((L12-L11)*1440)/60)))</f>
        <v>2.0000000002328306</v>
      </c>
      <c r="M13" s="1"/>
      <c r="N13" s="4">
        <f t="shared" si="2"/>
        <v>40543.749999999978</v>
      </c>
      <c r="O13" s="4">
        <f t="shared" si="0"/>
        <v>40544.749999999978</v>
      </c>
      <c r="P13" s="4">
        <f t="shared" si="1"/>
        <v>40545.74999999984</v>
      </c>
      <c r="Q13" s="6"/>
      <c r="R13" s="6"/>
      <c r="S13" s="5">
        <v>11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4.5" customHeight="1" x14ac:dyDescent="0.35">
      <c r="A14" s="1"/>
      <c r="B14" s="15" t="str">
        <f>IF(AND(F13=0,I13=0,L13=0),"","Max. no. matches possible Sun")</f>
        <v>Max. no. matches possible Sun</v>
      </c>
      <c r="C14" s="11">
        <f>IF((F18+I18+L18)=0,"",(F18+I18+L18))</f>
        <v>10.000000001164153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4">
        <f t="shared" si="2"/>
        <v>40543.791666666642</v>
      </c>
      <c r="O14" s="4">
        <f t="shared" si="0"/>
        <v>40544.791666666642</v>
      </c>
      <c r="P14" s="4">
        <f t="shared" si="1"/>
        <v>40545.791666666504</v>
      </c>
      <c r="Q14" s="6"/>
      <c r="R14" s="6"/>
      <c r="S14" s="5">
        <v>12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4.5" customHeight="1" x14ac:dyDescent="0.35">
      <c r="A15" s="1"/>
      <c r="B15" s="9" t="s">
        <v>32</v>
      </c>
      <c r="C15" s="28">
        <f>IF(F19+I19+L19=0,"",F19+I19+L19)</f>
        <v>30.00000000349246</v>
      </c>
      <c r="D15" s="1"/>
      <c r="E15" s="77" t="str">
        <f>IF(C3&gt;0,"No. matches per hour","")</f>
        <v>No. matches per hour</v>
      </c>
      <c r="F15" s="65">
        <f>IF($C$8="","",IF($C$3="","",$C$3*(60/$C$8)))</f>
        <v>2</v>
      </c>
      <c r="G15" s="76"/>
      <c r="H15" s="77" t="str">
        <f>IF(C4&gt;0,"No. matches per hour","")</f>
        <v>No. matches per hour</v>
      </c>
      <c r="I15" s="65">
        <f>IF($C$8="","",IF($C$4="","",$C$4*(60/$C$8)))</f>
        <v>2</v>
      </c>
      <c r="J15" s="76"/>
      <c r="K15" s="77" t="str">
        <f>IF(C5&gt;0,"No. matches per hour","")</f>
        <v>No. matches per hour</v>
      </c>
      <c r="L15" s="65">
        <f>IF(C5="","",$C$5*(60/$C$8))</f>
        <v>1</v>
      </c>
      <c r="M15" s="1"/>
      <c r="N15" s="4">
        <f t="shared" si="2"/>
        <v>40543.833333333307</v>
      </c>
      <c r="O15" s="4">
        <f t="shared" si="0"/>
        <v>40544.833333333307</v>
      </c>
      <c r="P15" s="4">
        <f t="shared" si="1"/>
        <v>40545.833333333168</v>
      </c>
      <c r="Q15" s="6"/>
      <c r="R15" s="6"/>
      <c r="S15" s="5">
        <v>13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4.5" customHeight="1" x14ac:dyDescent="0.35">
      <c r="A16" s="1"/>
      <c r="B16" s="9" t="s">
        <v>14</v>
      </c>
      <c r="C16" s="28">
        <f>IF(C15="","",2*C15/C9)</f>
        <v>20.000000002328306</v>
      </c>
      <c r="D16" s="1"/>
      <c r="E16" s="78" t="str">
        <f>IF(AND(F3="",F4=""),"",IF(C3="","","No. matches possible Fri"))</f>
        <v>No. matches possible Fri</v>
      </c>
      <c r="F16" s="79">
        <f>IF(C3="",0,IF(F5="","",F5*F15))</f>
        <v>4.0000000004656613</v>
      </c>
      <c r="G16" s="76"/>
      <c r="H16" s="78" t="str">
        <f>IF(AND(I3="",I4=""),"",IF(C4="","","No. matches possible Fri"))</f>
        <v>No. matches possible Fri</v>
      </c>
      <c r="I16" s="79">
        <f>IF(C4="",0,IF(I5="","",I5*$I$15))</f>
        <v>4.0000000004656613</v>
      </c>
      <c r="J16" s="76"/>
      <c r="K16" s="78" t="str">
        <f>IF(AND(L3="",L4="",O2=""),"",IF(C5="","","No. matches possible Fri"))</f>
        <v>No. matches possible Fri</v>
      </c>
      <c r="L16" s="79">
        <f>IF(C5="",0,IF(L5="","",L5*$L$15))</f>
        <v>2.0000000002328306</v>
      </c>
      <c r="M16" s="1"/>
      <c r="N16" s="4">
        <f t="shared" si="2"/>
        <v>40543.874999999971</v>
      </c>
      <c r="O16" s="4">
        <f t="shared" si="0"/>
        <v>40544.874999999971</v>
      </c>
      <c r="P16" s="4">
        <f t="shared" si="1"/>
        <v>40545.874999999833</v>
      </c>
      <c r="Q16" s="6"/>
      <c r="R16" s="6"/>
      <c r="S16" s="5">
        <v>14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4.5" customHeight="1" x14ac:dyDescent="0.35">
      <c r="A17" s="1"/>
      <c r="B17" s="1"/>
      <c r="C17" s="1"/>
      <c r="D17" s="1"/>
      <c r="E17" s="78" t="str">
        <f>IF(AND(F7="",F8=""),"",IF(C3="","","No. matches possible Sat"))</f>
        <v>No. matches possible Sat</v>
      </c>
      <c r="F17" s="79">
        <f>IF(C3="",0,IF(F9="","",F9*F15))</f>
        <v>4.0000000004656613</v>
      </c>
      <c r="G17" s="76"/>
      <c r="H17" s="78" t="str">
        <f>IF(AND(I7="",I8=""),"",IF(C4="","","No. matches possible Sat"))</f>
        <v>No. matches possible Sat</v>
      </c>
      <c r="I17" s="79">
        <f>IF(C4="",0,IF(I9="","",I9*$I$15))</f>
        <v>4.0000000004656613</v>
      </c>
      <c r="J17" s="76"/>
      <c r="K17" s="78" t="str">
        <f>IF(AND(L7="",L8=""),"",IF(C5="","","No. matches possible Sat"))</f>
        <v>No. matches possible Sat</v>
      </c>
      <c r="L17" s="79">
        <f>IF(C5="",0,IF(L9="","",L9*$L$15))</f>
        <v>2.0000000002328306</v>
      </c>
      <c r="M17" s="1"/>
      <c r="N17" s="4">
        <f t="shared" si="2"/>
        <v>40543.916666666635</v>
      </c>
      <c r="O17" s="4">
        <f t="shared" si="0"/>
        <v>40544.916666666635</v>
      </c>
      <c r="P17" s="4">
        <f t="shared" si="1"/>
        <v>40545.916666666497</v>
      </c>
      <c r="Q17" s="6"/>
      <c r="R17" s="6"/>
      <c r="S17" s="5">
        <v>15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4.5" customHeight="1" x14ac:dyDescent="0.35">
      <c r="A18" s="1"/>
      <c r="B18" s="1"/>
      <c r="C18" s="1"/>
      <c r="D18" s="1"/>
      <c r="E18" s="78" t="str">
        <f>IF(AND(F11="",F12=""),"",IF(C3="","","No. matches possible Sun"))</f>
        <v>No. matches possible Sun</v>
      </c>
      <c r="F18" s="79">
        <f>IF(C3="",0,IF(F13="","",F13*$F$15))</f>
        <v>4.0000000004656613</v>
      </c>
      <c r="G18" s="76"/>
      <c r="H18" s="78" t="str">
        <f>IF(AND(I11="",I12=""),"",IF(C4="","","No. matches possible Sun"))</f>
        <v>No. matches possible Sun</v>
      </c>
      <c r="I18" s="79">
        <f>IF(C4="",0,IF(I13="","",I13*$I$15))</f>
        <v>4.0000000004656613</v>
      </c>
      <c r="J18" s="76"/>
      <c r="K18" s="78" t="str">
        <f>IF(AND(L11="",L12=""),"",IF(C5="","","No. matches possible Sun"))</f>
        <v>No. matches possible Sun</v>
      </c>
      <c r="L18" s="79">
        <f>IF(C5="",0,IF(L13="","",L13*$L$15))</f>
        <v>2.0000000002328306</v>
      </c>
      <c r="M18" s="1"/>
      <c r="N18" s="4">
        <f t="shared" si="2"/>
        <v>40543.958333333299</v>
      </c>
      <c r="O18" s="4">
        <f t="shared" si="0"/>
        <v>40544.958333333299</v>
      </c>
      <c r="P18" s="4">
        <f t="shared" si="1"/>
        <v>40545.958333333161</v>
      </c>
      <c r="Q18" s="6"/>
      <c r="R18" s="6"/>
      <c r="S18" s="5">
        <v>16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35">
      <c r="A19" s="1"/>
      <c r="B19" s="1"/>
      <c r="C19" s="1"/>
      <c r="D19" s="1"/>
      <c r="E19" s="78" t="str">
        <f>IF(F19=0,"","No. matches for  w/e")</f>
        <v>No. matches for  w/e</v>
      </c>
      <c r="F19" s="79">
        <f>IF(SUM(F16:F18)="","",SUM(F16:F18))</f>
        <v>12.000000001396984</v>
      </c>
      <c r="G19" s="76"/>
      <c r="H19" s="78" t="str">
        <f>IF(I19=0,"","No. matches for  w/e")</f>
        <v>No. matches for  w/e</v>
      </c>
      <c r="I19" s="79">
        <f>IF(SUM(I16:I18)="","",SUM(I16:I18))</f>
        <v>12.000000001396984</v>
      </c>
      <c r="J19" s="76"/>
      <c r="K19" s="78" t="str">
        <f>IF(L19=0,"","No. matches for  w/e")</f>
        <v>No. matches for  w/e</v>
      </c>
      <c r="L19" s="79">
        <f>IF(SUM(L16:L18)="","",SUM(L16:L18))</f>
        <v>6.0000000006984919</v>
      </c>
      <c r="M19" s="1"/>
      <c r="N19" s="4">
        <f t="shared" si="2"/>
        <v>40543.999999999964</v>
      </c>
      <c r="O19" s="4">
        <f t="shared" si="0"/>
        <v>40544.999999999964</v>
      </c>
      <c r="P19" s="4">
        <f t="shared" si="1"/>
        <v>40545.999999999825</v>
      </c>
      <c r="Q19" s="6"/>
      <c r="R19" s="6"/>
      <c r="S19" s="5">
        <v>17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35">
      <c r="A20" s="1"/>
      <c r="B20" s="1"/>
      <c r="C20" s="1"/>
      <c r="D20" s="1"/>
      <c r="E20" s="78" t="str">
        <f>IF(F19=0,"","No. hours at this centre")</f>
        <v>No. hours at this centre</v>
      </c>
      <c r="F20" s="79">
        <f>IF(C3="","",IF(F5+F9+F13=0,"",(F5+F9+F13)))</f>
        <v>6.0000000006984919</v>
      </c>
      <c r="G20" s="76"/>
      <c r="H20" s="78" t="str">
        <f>IF(I19=0,"","No. hours at this centre")</f>
        <v>No. hours at this centre</v>
      </c>
      <c r="I20" s="79">
        <f>IF(C4="","",IF(I5+I9+I13=0,"",(I5+I9+I13)))</f>
        <v>6.0000000006984919</v>
      </c>
      <c r="J20" s="76"/>
      <c r="K20" s="78" t="str">
        <f>IF(L19=0,"","No. hours at this centre")</f>
        <v>No. hours at this centre</v>
      </c>
      <c r="L20" s="79">
        <f>IF(C5="","",IF(L5+L9+L13=0,"",(L5+L9+L13)))</f>
        <v>6.0000000006984919</v>
      </c>
      <c r="M20" s="1"/>
      <c r="N20" s="4">
        <f t="shared" si="2"/>
        <v>40544.041666666628</v>
      </c>
      <c r="O20" s="4">
        <f t="shared" si="0"/>
        <v>40545.041666666628</v>
      </c>
      <c r="P20" s="4">
        <f t="shared" si="1"/>
        <v>40546.04166666649</v>
      </c>
      <c r="Q20" s="6"/>
      <c r="R20" s="6"/>
      <c r="S20" s="5">
        <v>18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35">
      <c r="A21" s="1"/>
      <c r="B21" s="34" t="s">
        <v>30</v>
      </c>
      <c r="C21" s="85" t="s">
        <v>31</v>
      </c>
      <c r="D21" s="86"/>
      <c r="E21" s="43" t="s">
        <v>37</v>
      </c>
      <c r="F21" s="1"/>
      <c r="G21" s="1"/>
      <c r="H21" s="1"/>
      <c r="I21" s="1"/>
      <c r="J21" s="1"/>
      <c r="K21" s="1"/>
      <c r="L21" s="1"/>
      <c r="M21" s="1"/>
      <c r="N21" s="4">
        <f t="shared" si="2"/>
        <v>40544.083333333292</v>
      </c>
      <c r="O21" s="4">
        <f t="shared" si="0"/>
        <v>40545.083333333292</v>
      </c>
      <c r="P21" s="4">
        <f t="shared" si="1"/>
        <v>40546.083333333154</v>
      </c>
      <c r="Q21" s="6"/>
      <c r="R21" s="6"/>
      <c r="S21" s="5">
        <v>19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5">
      <c r="A22" s="1"/>
      <c r="B22" s="35" t="str">
        <f>IF(B3="","",B3)</f>
        <v>Gerringong</v>
      </c>
      <c r="C22" s="87">
        <v>10</v>
      </c>
      <c r="D22" s="88"/>
      <c r="E22" s="44">
        <f>IF(C3="","",(C22*F20)*C3)</f>
        <v>120.00000001396984</v>
      </c>
      <c r="F22" s="1"/>
      <c r="G22" s="1"/>
      <c r="H22" s="1"/>
      <c r="I22" s="1"/>
      <c r="J22" s="1"/>
      <c r="K22" s="1"/>
      <c r="L22" s="1"/>
      <c r="M22" s="1"/>
      <c r="N22" s="4">
        <f t="shared" si="2"/>
        <v>40544.124999999956</v>
      </c>
      <c r="O22" s="4">
        <f t="shared" si="0"/>
        <v>40545.124999999956</v>
      </c>
      <c r="P22" s="4">
        <f t="shared" si="1"/>
        <v>40546.124999999818</v>
      </c>
      <c r="Q22" s="6"/>
      <c r="R22" s="6"/>
      <c r="S22" s="5">
        <v>20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4.5" customHeight="1" x14ac:dyDescent="0.35">
      <c r="A23" s="1"/>
      <c r="B23" s="35" t="str">
        <f t="shared" ref="B23:B24" si="3">IF(B4="","",B4)</f>
        <v>North Nowra</v>
      </c>
      <c r="C23" s="87">
        <v>10</v>
      </c>
      <c r="D23" s="88"/>
      <c r="E23" s="44">
        <f>IF(C4="","",(C23*I20)*C4)</f>
        <v>120.00000001396984</v>
      </c>
      <c r="F23" s="1"/>
      <c r="G23" s="1"/>
      <c r="H23" s="1"/>
      <c r="I23" s="1"/>
      <c r="J23" s="1"/>
      <c r="K23" s="1"/>
      <c r="L23" s="1"/>
      <c r="M23" s="1"/>
      <c r="N23" s="4">
        <f t="shared" si="2"/>
        <v>40544.166666666621</v>
      </c>
      <c r="O23" s="4">
        <f t="shared" si="0"/>
        <v>40545.166666666621</v>
      </c>
      <c r="P23" s="4">
        <f t="shared" si="1"/>
        <v>40546.166666666482</v>
      </c>
      <c r="Q23" s="6"/>
      <c r="R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4.5" customHeight="1" x14ac:dyDescent="0.35">
      <c r="A24" s="1"/>
      <c r="B24" s="35" t="str">
        <f t="shared" si="3"/>
        <v>Bomaderry</v>
      </c>
      <c r="C24" s="87">
        <v>10</v>
      </c>
      <c r="D24" s="88"/>
      <c r="E24" s="44">
        <f>IF(C5="","",(C24*L20)*C5)</f>
        <v>60.000000006984919</v>
      </c>
      <c r="F24" s="1"/>
      <c r="G24" s="1"/>
      <c r="H24" s="1"/>
      <c r="I24" s="1"/>
      <c r="J24" s="1"/>
      <c r="K24" s="1"/>
      <c r="L24" s="1"/>
      <c r="M24" s="1"/>
      <c r="N24" s="4">
        <f t="shared" si="2"/>
        <v>40544.208333333285</v>
      </c>
      <c r="O24" s="4">
        <f t="shared" si="0"/>
        <v>40545.208333333285</v>
      </c>
      <c r="P24" s="4">
        <f t="shared" si="1"/>
        <v>40546.208333333147</v>
      </c>
      <c r="Q24" s="6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4.5" customHeight="1" x14ac:dyDescent="0.35">
      <c r="A25" s="1"/>
      <c r="B25" s="82" t="s">
        <v>36</v>
      </c>
      <c r="C25" s="83"/>
      <c r="D25" s="84"/>
      <c r="E25" s="45">
        <f>SUM(E22:E24)</f>
        <v>300.0000000349246</v>
      </c>
      <c r="F25" s="1"/>
      <c r="G25" s="1"/>
      <c r="H25" s="1"/>
      <c r="I25" s="1"/>
      <c r="J25" s="1"/>
      <c r="K25" s="1"/>
      <c r="L25" s="1"/>
      <c r="M25" s="1"/>
      <c r="N25" s="4">
        <f t="shared" si="2"/>
        <v>40544.249999999949</v>
      </c>
      <c r="O25" s="4">
        <f t="shared" si="0"/>
        <v>40545.249999999949</v>
      </c>
      <c r="P25" s="4">
        <f t="shared" si="1"/>
        <v>40546.249999999811</v>
      </c>
      <c r="Q25" s="6"/>
      <c r="R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">
        <f t="shared" si="2"/>
        <v>40544.291666666613</v>
      </c>
      <c r="O26" s="4">
        <f t="shared" si="0"/>
        <v>40545.291666666613</v>
      </c>
      <c r="P26" s="4">
        <f t="shared" si="1"/>
        <v>40546.291666666475</v>
      </c>
      <c r="Q26" s="6"/>
      <c r="R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">
        <f t="shared" si="2"/>
        <v>40544.333333333278</v>
      </c>
      <c r="O27" s="4">
        <f t="shared" si="0"/>
        <v>40545.333333333278</v>
      </c>
      <c r="P27" s="4">
        <f t="shared" si="1"/>
        <v>40546.333333333139</v>
      </c>
      <c r="Q27" s="6"/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">
        <f t="shared" si="2"/>
        <v>40544.374999999942</v>
      </c>
      <c r="O28" s="4">
        <f t="shared" si="0"/>
        <v>40545.374999999942</v>
      </c>
      <c r="P28" s="4">
        <f t="shared" si="1"/>
        <v>40546.374999999804</v>
      </c>
      <c r="Q28" s="6"/>
      <c r="R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">
        <f t="shared" si="2"/>
        <v>40544.416666666606</v>
      </c>
      <c r="O29" s="4">
        <f t="shared" si="0"/>
        <v>40545.416666666606</v>
      </c>
      <c r="P29" s="4">
        <f t="shared" si="1"/>
        <v>40546.416666666468</v>
      </c>
      <c r="Q29" s="6"/>
      <c r="R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">
        <f t="shared" si="2"/>
        <v>40544.45833333327</v>
      </c>
      <c r="O30" s="4">
        <f t="shared" si="0"/>
        <v>40545.45833333327</v>
      </c>
      <c r="P30" s="4">
        <f t="shared" si="1"/>
        <v>40546.458333333132</v>
      </c>
      <c r="Q30" s="6"/>
      <c r="R30" s="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">
        <f t="shared" si="2"/>
        <v>40544.499999999935</v>
      </c>
      <c r="O31" s="4">
        <f t="shared" si="0"/>
        <v>40545.499999999935</v>
      </c>
      <c r="P31" s="4">
        <f t="shared" si="1"/>
        <v>40546.499999999796</v>
      </c>
      <c r="Q31" s="6"/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">
        <f t="shared" si="2"/>
        <v>40544.541666666599</v>
      </c>
      <c r="O32" s="4">
        <f t="shared" si="0"/>
        <v>40545.541666666599</v>
      </c>
      <c r="P32" s="4">
        <f t="shared" si="1"/>
        <v>40546.541666666461</v>
      </c>
      <c r="Q32" s="6"/>
      <c r="R32" s="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">
        <f t="shared" si="2"/>
        <v>40544.583333333263</v>
      </c>
      <c r="O33" s="4">
        <f t="shared" si="0"/>
        <v>40545.583333333263</v>
      </c>
      <c r="P33" s="4">
        <f t="shared" si="1"/>
        <v>40546.583333333125</v>
      </c>
      <c r="Q33" s="6"/>
      <c r="R33" s="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">
        <f t="shared" si="2"/>
        <v>40544.624999999927</v>
      </c>
      <c r="O34" s="4">
        <f t="shared" si="0"/>
        <v>40545.624999999927</v>
      </c>
      <c r="P34" s="4">
        <f t="shared" si="1"/>
        <v>40546.624999999789</v>
      </c>
      <c r="Q34" s="6"/>
      <c r="R34" s="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">
        <f t="shared" si="2"/>
        <v>40544.666666666591</v>
      </c>
      <c r="O35" s="4">
        <f t="shared" si="0"/>
        <v>40545.666666666591</v>
      </c>
      <c r="P35" s="4">
        <f t="shared" si="1"/>
        <v>40546.666666666453</v>
      </c>
      <c r="Q35" s="6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">
        <f t="shared" ref="N36:N53" si="4">N35+TIME(0,$C$8,0)</f>
        <v>40544.708333333256</v>
      </c>
      <c r="O36" s="4">
        <f t="shared" ref="O36:O53" si="5">O35+TIME(0,$C$8,0)</f>
        <v>40545.708333333256</v>
      </c>
      <c r="P36" s="4">
        <f t="shared" ref="P36:P53" si="6">P35+TIME(0,$C$8,0)</f>
        <v>40546.708333333117</v>
      </c>
      <c r="Q36" s="6"/>
      <c r="R36" s="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">
        <f t="shared" si="4"/>
        <v>40544.74999999992</v>
      </c>
      <c r="O37" s="4">
        <f t="shared" si="5"/>
        <v>40545.74999999992</v>
      </c>
      <c r="P37" s="4">
        <f t="shared" si="6"/>
        <v>40546.749999999782</v>
      </c>
      <c r="Q37" s="6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">
        <f t="shared" si="4"/>
        <v>40544.791666666584</v>
      </c>
      <c r="O38" s="4">
        <f t="shared" si="5"/>
        <v>40545.791666666584</v>
      </c>
      <c r="P38" s="4">
        <f t="shared" si="6"/>
        <v>40546.791666666446</v>
      </c>
      <c r="Q38" s="6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">
        <f t="shared" si="4"/>
        <v>40544.833333333248</v>
      </c>
      <c r="O39" s="4">
        <f t="shared" si="5"/>
        <v>40545.833333333248</v>
      </c>
      <c r="P39" s="4">
        <f t="shared" si="6"/>
        <v>40546.83333333311</v>
      </c>
      <c r="Q39" s="6"/>
      <c r="R39" s="6"/>
      <c r="S39" s="1"/>
      <c r="T39" s="1"/>
      <c r="U39" s="1"/>
      <c r="V39" s="1"/>
    </row>
    <row r="40" spans="1:3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">
        <f t="shared" si="4"/>
        <v>40544.874999999913</v>
      </c>
      <c r="O40" s="4">
        <f t="shared" si="5"/>
        <v>40545.874999999913</v>
      </c>
      <c r="P40" s="4">
        <f t="shared" si="6"/>
        <v>40546.874999999774</v>
      </c>
      <c r="Q40" s="6"/>
      <c r="R40" s="6"/>
      <c r="S40" s="1"/>
      <c r="T40" s="1"/>
      <c r="U40" s="1"/>
      <c r="V40" s="1"/>
    </row>
    <row r="41" spans="1:3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">
        <f t="shared" si="4"/>
        <v>40544.916666666577</v>
      </c>
      <c r="O41" s="4">
        <f t="shared" si="5"/>
        <v>40545.916666666577</v>
      </c>
      <c r="P41" s="4">
        <f t="shared" si="6"/>
        <v>40546.916666666439</v>
      </c>
      <c r="Q41" s="6"/>
      <c r="R41" s="6"/>
      <c r="S41" s="1"/>
      <c r="T41" s="1"/>
      <c r="U41" s="1"/>
      <c r="V41" s="1"/>
    </row>
    <row r="42" spans="1:3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">
        <f t="shared" si="4"/>
        <v>40544.958333333241</v>
      </c>
      <c r="O42" s="4">
        <f t="shared" si="5"/>
        <v>40545.958333333241</v>
      </c>
      <c r="P42" s="4">
        <f t="shared" si="6"/>
        <v>40546.958333333103</v>
      </c>
      <c r="Q42" s="6"/>
      <c r="R42" s="6"/>
      <c r="S42" s="1"/>
      <c r="T42" s="1"/>
      <c r="U42" s="1"/>
      <c r="V42" s="1"/>
    </row>
    <row r="43" spans="1:3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">
        <f t="shared" si="4"/>
        <v>40544.999999999905</v>
      </c>
      <c r="O43" s="4">
        <f t="shared" si="5"/>
        <v>40545.999999999905</v>
      </c>
      <c r="P43" s="4">
        <f t="shared" si="6"/>
        <v>40546.999999999767</v>
      </c>
      <c r="Q43" s="6"/>
      <c r="R43" s="6"/>
      <c r="S43" s="1"/>
      <c r="T43" s="1"/>
      <c r="U43" s="1"/>
      <c r="V43" s="1"/>
    </row>
    <row r="44" spans="1:3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">
        <f t="shared" si="4"/>
        <v>40545.04166666657</v>
      </c>
      <c r="O44" s="4">
        <f t="shared" si="5"/>
        <v>40546.04166666657</v>
      </c>
      <c r="P44" s="4">
        <f t="shared" si="6"/>
        <v>40547.041666666431</v>
      </c>
      <c r="Q44" s="6"/>
      <c r="R44" s="6"/>
      <c r="S44" s="1"/>
      <c r="T44" s="1"/>
      <c r="U44" s="1"/>
      <c r="V44" s="1"/>
    </row>
    <row r="45" spans="1:3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">
        <f t="shared" si="4"/>
        <v>40545.083333333234</v>
      </c>
      <c r="O45" s="4">
        <f t="shared" si="5"/>
        <v>40546.083333333234</v>
      </c>
      <c r="P45" s="4">
        <f t="shared" si="6"/>
        <v>40547.083333333096</v>
      </c>
      <c r="Q45" s="6"/>
      <c r="R45" s="6"/>
      <c r="S45" s="1"/>
      <c r="T45" s="1"/>
      <c r="U45" s="1"/>
      <c r="V45" s="1"/>
    </row>
    <row r="46" spans="1:3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">
        <f t="shared" si="4"/>
        <v>40545.124999999898</v>
      </c>
      <c r="O46" s="4">
        <f t="shared" si="5"/>
        <v>40546.124999999898</v>
      </c>
      <c r="P46" s="4">
        <f t="shared" si="6"/>
        <v>40547.12499999976</v>
      </c>
      <c r="Q46" s="6"/>
      <c r="R46" s="6"/>
      <c r="S46" s="1"/>
      <c r="T46" s="1"/>
      <c r="U46" s="1"/>
      <c r="V46" s="1"/>
    </row>
    <row r="47" spans="1:3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">
        <f t="shared" si="4"/>
        <v>40545.166666666562</v>
      </c>
      <c r="O47" s="4">
        <f t="shared" si="5"/>
        <v>40546.166666666562</v>
      </c>
      <c r="P47" s="4">
        <f t="shared" si="6"/>
        <v>40547.166666666424</v>
      </c>
      <c r="Q47" s="6"/>
      <c r="R47" s="6"/>
      <c r="S47" s="1"/>
      <c r="T47" s="1"/>
      <c r="U47" s="1"/>
      <c r="V47" s="1"/>
    </row>
    <row r="48" spans="1:3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">
        <f t="shared" si="4"/>
        <v>40545.208333333227</v>
      </c>
      <c r="O48" s="4">
        <f t="shared" si="5"/>
        <v>40546.208333333227</v>
      </c>
      <c r="P48" s="4">
        <f t="shared" si="6"/>
        <v>40547.208333333088</v>
      </c>
      <c r="Q48" s="6"/>
      <c r="R48" s="6"/>
      <c r="S48" s="1"/>
      <c r="T48" s="1"/>
      <c r="U48" s="1"/>
      <c r="V48" s="1"/>
    </row>
    <row r="49" spans="1:2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">
        <f t="shared" si="4"/>
        <v>40545.249999999891</v>
      </c>
      <c r="O49" s="4">
        <f t="shared" si="5"/>
        <v>40546.249999999891</v>
      </c>
      <c r="P49" s="4">
        <f t="shared" si="6"/>
        <v>40547.249999999753</v>
      </c>
      <c r="Q49" s="6"/>
      <c r="R49" s="6"/>
      <c r="S49" s="1"/>
      <c r="T49" s="1"/>
      <c r="U49" s="1"/>
      <c r="V49" s="1"/>
    </row>
    <row r="50" spans="1:2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">
        <f t="shared" si="4"/>
        <v>40545.291666666555</v>
      </c>
      <c r="O50" s="4">
        <f t="shared" si="5"/>
        <v>40546.291666666555</v>
      </c>
      <c r="P50" s="4">
        <f t="shared" si="6"/>
        <v>40547.291666666417</v>
      </c>
      <c r="Q50" s="6"/>
      <c r="R50" s="6"/>
      <c r="S50" s="1"/>
      <c r="T50" s="1"/>
      <c r="U50" s="1"/>
      <c r="V50" s="1"/>
    </row>
    <row r="51" spans="1:2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">
        <f t="shared" si="4"/>
        <v>40545.333333333219</v>
      </c>
      <c r="O51" s="4">
        <f t="shared" si="5"/>
        <v>40546.333333333219</v>
      </c>
      <c r="P51" s="4">
        <f t="shared" si="6"/>
        <v>40547.333333333081</v>
      </c>
      <c r="Q51" s="6"/>
      <c r="R51" s="6"/>
      <c r="S51" s="1"/>
      <c r="T51" s="1"/>
      <c r="U51" s="1"/>
      <c r="V51" s="1"/>
    </row>
    <row r="52" spans="1:2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">
        <f t="shared" si="4"/>
        <v>40545.374999999884</v>
      </c>
      <c r="O52" s="4">
        <f t="shared" si="5"/>
        <v>40546.374999999884</v>
      </c>
      <c r="P52" s="4">
        <f t="shared" si="6"/>
        <v>40547.374999999745</v>
      </c>
      <c r="Q52" s="6"/>
      <c r="R52" s="6"/>
      <c r="S52" s="1"/>
      <c r="T52" s="1"/>
      <c r="U52" s="1"/>
      <c r="V52" s="1"/>
    </row>
    <row r="53" spans="1:2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">
        <f t="shared" si="4"/>
        <v>40545.416666666548</v>
      </c>
      <c r="O53" s="4">
        <f t="shared" si="5"/>
        <v>40546.416666666548</v>
      </c>
      <c r="P53" s="4">
        <f t="shared" si="6"/>
        <v>40547.41666666641</v>
      </c>
      <c r="Q53" s="6"/>
      <c r="R53" s="6"/>
      <c r="S53" s="1"/>
      <c r="T53" s="1"/>
      <c r="U53" s="1"/>
      <c r="V53" s="1"/>
    </row>
    <row r="54" spans="1:2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"/>
      <c r="O54" s="4"/>
      <c r="P54" s="4">
        <f t="shared" ref="P54:P63" si="7">P53+TIME(0,$C$8,0)</f>
        <v>40547.458333333074</v>
      </c>
      <c r="Q54" s="6"/>
      <c r="R54" s="6"/>
      <c r="S54" s="1"/>
      <c r="T54" s="1"/>
      <c r="U54" s="1"/>
      <c r="V54" s="1"/>
    </row>
    <row r="55" spans="1:2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"/>
      <c r="O55" s="4"/>
      <c r="P55" s="4">
        <f t="shared" si="7"/>
        <v>40547.499999999738</v>
      </c>
      <c r="Q55" s="6"/>
      <c r="R55" s="1"/>
      <c r="S55" s="1"/>
      <c r="T55" s="1"/>
      <c r="U55" s="1"/>
      <c r="V55" s="1"/>
    </row>
    <row r="56" spans="1:2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"/>
      <c r="O56" s="4"/>
      <c r="P56" s="4">
        <f t="shared" si="7"/>
        <v>40547.541666666402</v>
      </c>
      <c r="Q56" s="6"/>
      <c r="R56" s="1"/>
      <c r="S56" s="1"/>
      <c r="T56" s="1"/>
      <c r="U56" s="1"/>
      <c r="V56" s="1"/>
    </row>
    <row r="57" spans="1:2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"/>
      <c r="O57" s="4"/>
      <c r="P57" s="4">
        <f t="shared" si="7"/>
        <v>40547.583333333067</v>
      </c>
      <c r="Q57" s="6"/>
      <c r="R57" s="1"/>
      <c r="S57" s="1"/>
      <c r="T57" s="1"/>
      <c r="U57" s="1"/>
      <c r="V57" s="1"/>
    </row>
    <row r="58" spans="1:2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"/>
      <c r="O58" s="4"/>
      <c r="P58" s="4">
        <f t="shared" si="7"/>
        <v>40547.624999999731</v>
      </c>
      <c r="Q58" s="6"/>
      <c r="R58" s="1"/>
      <c r="S58" s="1"/>
      <c r="T58" s="1"/>
      <c r="U58" s="1"/>
      <c r="V58" s="1"/>
    </row>
    <row r="59" spans="1:2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"/>
      <c r="O59" s="4"/>
      <c r="P59" s="4">
        <f t="shared" si="7"/>
        <v>40547.666666666395</v>
      </c>
      <c r="Q59" s="6"/>
      <c r="R59" s="1"/>
      <c r="S59" s="1"/>
      <c r="T59" s="1"/>
      <c r="U59" s="1"/>
      <c r="V59" s="1"/>
    </row>
    <row r="60" spans="1:2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"/>
      <c r="O60" s="4"/>
      <c r="P60" s="4">
        <f t="shared" si="7"/>
        <v>40547.708333333059</v>
      </c>
      <c r="Q60" s="6"/>
      <c r="R60" s="1"/>
      <c r="S60" s="1"/>
      <c r="T60" s="1"/>
      <c r="U60" s="1"/>
      <c r="V60" s="1"/>
    </row>
    <row r="61" spans="1:2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"/>
      <c r="O61" s="4"/>
      <c r="P61" s="4">
        <f t="shared" si="7"/>
        <v>40547.749999999724</v>
      </c>
      <c r="Q61" s="6"/>
      <c r="R61" s="1"/>
      <c r="S61" s="1"/>
      <c r="T61" s="1"/>
      <c r="U61" s="1"/>
      <c r="V61" s="1"/>
    </row>
    <row r="62" spans="1:2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"/>
      <c r="O62" s="4"/>
      <c r="P62" s="4">
        <f t="shared" si="7"/>
        <v>40547.791666666388</v>
      </c>
      <c r="Q62" s="6"/>
      <c r="R62" s="1"/>
      <c r="S62" s="1"/>
      <c r="T62" s="1"/>
      <c r="U62" s="1"/>
      <c r="V62" s="1"/>
    </row>
    <row r="63" spans="1:2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4"/>
      <c r="P63" s="4">
        <f t="shared" si="7"/>
        <v>40547.833333333052</v>
      </c>
      <c r="Q63" s="6"/>
      <c r="R63" s="1"/>
      <c r="S63" s="1"/>
      <c r="T63" s="1"/>
      <c r="U63" s="1"/>
      <c r="V63" s="1"/>
    </row>
    <row r="64" spans="1:2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"/>
      <c r="O64" s="4"/>
      <c r="P64" s="4"/>
      <c r="Q64" s="6"/>
      <c r="R64" s="1"/>
      <c r="S64" s="1"/>
      <c r="T64" s="1"/>
      <c r="U64" s="1"/>
      <c r="V64" s="1"/>
    </row>
    <row r="65" spans="1:2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"/>
      <c r="O65" s="4"/>
      <c r="P65" s="4"/>
      <c r="Q65" s="6"/>
      <c r="R65" s="1"/>
      <c r="S65" s="1"/>
      <c r="T65" s="1"/>
      <c r="U65" s="1"/>
      <c r="V65" s="1"/>
    </row>
    <row r="66" spans="1:2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"/>
      <c r="O66" s="4"/>
      <c r="P66" s="4"/>
      <c r="Q66" s="1"/>
      <c r="R66" s="1"/>
      <c r="S66" s="1"/>
      <c r="T66" s="1"/>
      <c r="U66" s="1"/>
      <c r="V66" s="1"/>
    </row>
    <row r="67" spans="1:2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"/>
      <c r="O67" s="4"/>
      <c r="P67" s="4"/>
      <c r="Q67" s="1"/>
      <c r="R67" s="1"/>
      <c r="S67" s="1"/>
      <c r="T67" s="1"/>
      <c r="U67" s="1"/>
      <c r="V67" s="1"/>
    </row>
    <row r="68" spans="1:2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"/>
      <c r="O68" s="4"/>
      <c r="P68" s="4"/>
      <c r="Q68" s="1"/>
      <c r="R68" s="1"/>
      <c r="S68" s="1"/>
      <c r="T68" s="1"/>
      <c r="U68" s="1"/>
      <c r="V68" s="1"/>
    </row>
    <row r="69" spans="1:2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"/>
      <c r="O69" s="4"/>
      <c r="P69" s="4"/>
      <c r="Q69" s="1"/>
      <c r="R69" s="1"/>
      <c r="S69" s="1"/>
      <c r="T69" s="1"/>
      <c r="U69" s="1"/>
      <c r="V69" s="1"/>
    </row>
    <row r="70" spans="1:2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"/>
      <c r="O70" s="4"/>
      <c r="P70" s="4"/>
      <c r="Q70" s="1"/>
      <c r="R70" s="1"/>
      <c r="S70" s="1"/>
      <c r="T70" s="1"/>
      <c r="U70" s="1"/>
      <c r="V70" s="1"/>
    </row>
    <row r="71" spans="1:2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"/>
      <c r="O71" s="4"/>
      <c r="P71" s="4"/>
      <c r="Q71" s="1"/>
      <c r="R71" s="1"/>
      <c r="S71" s="1"/>
      <c r="T71" s="1"/>
      <c r="U71" s="1"/>
      <c r="V71" s="1"/>
    </row>
    <row r="72" spans="1:2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"/>
      <c r="O72" s="4"/>
      <c r="P72" s="4"/>
      <c r="Q72" s="1"/>
      <c r="R72" s="1"/>
      <c r="S72" s="1"/>
      <c r="T72" s="1"/>
      <c r="U72" s="1"/>
      <c r="V72" s="1"/>
    </row>
    <row r="73" spans="1:2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"/>
      <c r="O73" s="4"/>
      <c r="P73" s="4"/>
      <c r="Q73" s="1"/>
      <c r="R73" s="1"/>
      <c r="S73" s="1"/>
      <c r="T73" s="1"/>
      <c r="U73" s="1"/>
      <c r="V73" s="1"/>
    </row>
    <row r="74" spans="1:2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"/>
      <c r="O74" s="4"/>
      <c r="P74" s="4"/>
      <c r="Q74" s="1"/>
      <c r="R74" s="1"/>
      <c r="S74" s="1"/>
      <c r="T74" s="1"/>
      <c r="U74" s="1"/>
      <c r="V74" s="1"/>
    </row>
    <row r="75" spans="1:2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"/>
      <c r="O75" s="4"/>
      <c r="P75" s="4"/>
      <c r="Q75" s="1"/>
      <c r="R75" s="1"/>
      <c r="S75" s="1"/>
      <c r="T75" s="1"/>
      <c r="U75" s="1"/>
      <c r="V75" s="1"/>
    </row>
    <row r="76" spans="1:2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"/>
      <c r="O76" s="4"/>
      <c r="P76" s="4"/>
      <c r="Q76" s="1"/>
      <c r="R76" s="1"/>
      <c r="S76" s="1"/>
      <c r="T76" s="1"/>
      <c r="U76" s="1"/>
      <c r="V76" s="1"/>
    </row>
    <row r="77" spans="1:2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"/>
      <c r="O77" s="4"/>
      <c r="P77" s="4"/>
      <c r="Q77" s="1"/>
      <c r="R77" s="1"/>
      <c r="S77" s="1"/>
      <c r="T77" s="1"/>
      <c r="U77" s="1"/>
      <c r="V77" s="1"/>
    </row>
    <row r="78" spans="1:2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"/>
      <c r="O78" s="4"/>
      <c r="P78" s="4"/>
      <c r="Q78" s="1"/>
      <c r="R78" s="1"/>
      <c r="S78" s="1"/>
      <c r="T78" s="1"/>
      <c r="U78" s="1"/>
      <c r="V78" s="1"/>
    </row>
    <row r="79" spans="1:2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"/>
      <c r="O79" s="4"/>
      <c r="P79" s="4"/>
      <c r="Q79" s="1"/>
      <c r="R79" s="1"/>
      <c r="S79" s="1"/>
      <c r="T79" s="1"/>
      <c r="U79" s="1"/>
      <c r="V79" s="1"/>
    </row>
    <row r="80" spans="1:2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"/>
      <c r="O80" s="4"/>
      <c r="P80" s="4"/>
      <c r="Q80" s="1"/>
      <c r="R80" s="1"/>
      <c r="S80" s="1"/>
      <c r="T80" s="1"/>
      <c r="U80" s="1"/>
      <c r="V80" s="1"/>
    </row>
    <row r="81" spans="1:2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"/>
      <c r="O81" s="4"/>
      <c r="P81" s="4"/>
      <c r="Q81" s="1"/>
      <c r="R81" s="1"/>
      <c r="S81" s="1"/>
      <c r="T81" s="1"/>
      <c r="U81" s="1"/>
      <c r="V81" s="1"/>
    </row>
    <row r="82" spans="1:2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"/>
      <c r="O82" s="4"/>
      <c r="P82" s="4"/>
      <c r="Q82" s="1"/>
      <c r="R82" s="1"/>
      <c r="S82" s="1"/>
      <c r="T82" s="1"/>
      <c r="U82" s="1"/>
      <c r="V82" s="1"/>
    </row>
    <row r="83" spans="1:2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"/>
      <c r="O83" s="4"/>
      <c r="P83" s="4"/>
      <c r="Q83" s="1"/>
      <c r="R83" s="1"/>
      <c r="S83" s="1"/>
      <c r="T83" s="1"/>
      <c r="U83" s="1"/>
      <c r="V83" s="1"/>
    </row>
    <row r="84" spans="1:2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"/>
      <c r="O84" s="4"/>
      <c r="P84" s="4"/>
      <c r="Q84" s="1"/>
      <c r="R84" s="1"/>
      <c r="S84" s="1"/>
      <c r="T84" s="1"/>
      <c r="U84" s="1"/>
      <c r="V84" s="1"/>
    </row>
    <row r="85" spans="1:2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"/>
      <c r="O85" s="4"/>
      <c r="P85" s="4"/>
      <c r="Q85" s="1"/>
      <c r="R85" s="1"/>
      <c r="S85" s="1"/>
      <c r="T85" s="1"/>
      <c r="U85" s="1"/>
      <c r="V85" s="1"/>
    </row>
    <row r="86" spans="1:2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"/>
      <c r="O86" s="4"/>
      <c r="P86" s="4"/>
      <c r="Q86" s="1"/>
      <c r="R86" s="1"/>
      <c r="S86" s="1"/>
      <c r="T86" s="1"/>
      <c r="U86" s="1"/>
      <c r="V86" s="1"/>
    </row>
    <row r="87" spans="1:2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"/>
      <c r="O87" s="4"/>
      <c r="P87" s="4"/>
      <c r="Q87" s="1"/>
      <c r="R87" s="1"/>
      <c r="S87" s="1"/>
      <c r="T87" s="1"/>
      <c r="U87" s="1"/>
      <c r="V87" s="1"/>
    </row>
    <row r="88" spans="1:2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"/>
      <c r="O88" s="4"/>
      <c r="P88" s="4"/>
      <c r="Q88" s="1"/>
      <c r="R88" s="1"/>
      <c r="S88" s="1"/>
      <c r="T88" s="1"/>
      <c r="U88" s="1"/>
      <c r="V88" s="1"/>
    </row>
    <row r="89" spans="1:2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"/>
      <c r="O89" s="4"/>
      <c r="P89" s="4"/>
      <c r="Q89" s="1"/>
      <c r="R89" s="1"/>
      <c r="S89" s="1"/>
      <c r="T89" s="1"/>
      <c r="U89" s="1"/>
      <c r="V89" s="1"/>
    </row>
    <row r="90" spans="1:2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"/>
      <c r="O90" s="4"/>
      <c r="P90" s="4"/>
      <c r="Q90" s="1"/>
      <c r="R90" s="1"/>
      <c r="S90" s="1"/>
      <c r="T90" s="1"/>
      <c r="U90" s="1"/>
      <c r="V90" s="1"/>
    </row>
    <row r="91" spans="1:2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"/>
      <c r="O91" s="4"/>
      <c r="P91" s="4"/>
      <c r="Q91" s="1"/>
      <c r="R91" s="1"/>
      <c r="S91" s="1"/>
      <c r="T91" s="1"/>
      <c r="U91" s="1"/>
      <c r="V91" s="1"/>
    </row>
    <row r="92" spans="1:2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"/>
      <c r="O92" s="4"/>
      <c r="P92" s="4"/>
      <c r="Q92" s="1"/>
      <c r="R92" s="1"/>
      <c r="S92" s="1"/>
      <c r="T92" s="1"/>
      <c r="U92" s="1"/>
      <c r="V92" s="1"/>
    </row>
    <row r="93" spans="1:2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"/>
      <c r="O93" s="4"/>
      <c r="P93" s="4"/>
      <c r="Q93" s="1"/>
      <c r="R93" s="1"/>
      <c r="S93" s="1"/>
      <c r="T93" s="1"/>
      <c r="U93" s="1"/>
      <c r="V93" s="1"/>
    </row>
    <row r="94" spans="1:2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"/>
      <c r="O94" s="4"/>
      <c r="P94" s="4"/>
      <c r="Q94" s="1"/>
      <c r="R94" s="1"/>
      <c r="S94" s="1"/>
      <c r="T94" s="1"/>
      <c r="U94" s="1"/>
      <c r="V94" s="1"/>
    </row>
    <row r="95" spans="1:2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"/>
      <c r="O95" s="4"/>
      <c r="P95" s="4"/>
      <c r="Q95" s="1"/>
      <c r="R95" s="1"/>
      <c r="S95" s="1"/>
      <c r="T95" s="1"/>
      <c r="U95" s="1"/>
      <c r="V95" s="1"/>
    </row>
    <row r="96" spans="1:2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"/>
      <c r="O96" s="4"/>
      <c r="P96" s="4"/>
      <c r="Q96" s="1"/>
      <c r="R96" s="1"/>
      <c r="S96" s="1"/>
      <c r="T96" s="1"/>
      <c r="U96" s="1"/>
      <c r="V96" s="1"/>
    </row>
    <row r="97" spans="1:2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"/>
      <c r="O97" s="4"/>
      <c r="P97" s="4"/>
      <c r="Q97" s="1"/>
      <c r="R97" s="1"/>
      <c r="S97" s="1"/>
      <c r="T97" s="1"/>
      <c r="U97" s="1"/>
      <c r="V97" s="1"/>
    </row>
    <row r="98" spans="1:2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"/>
      <c r="O98" s="4"/>
      <c r="P98" s="4"/>
      <c r="Q98" s="1"/>
      <c r="R98" s="1"/>
      <c r="S98" s="1"/>
      <c r="T98" s="1"/>
      <c r="U98" s="1"/>
      <c r="V98" s="1"/>
    </row>
  </sheetData>
  <sheetProtection selectLockedCells="1"/>
  <mergeCells count="8">
    <mergeCell ref="E2:F2"/>
    <mergeCell ref="H2:I2"/>
    <mergeCell ref="K2:L2"/>
    <mergeCell ref="B25:D25"/>
    <mergeCell ref="C21:D21"/>
    <mergeCell ref="C22:D22"/>
    <mergeCell ref="C23:D23"/>
    <mergeCell ref="C24:D24"/>
  </mergeCells>
  <conditionalFormatting sqref="F15:F20 I15:I20 L15:L20">
    <cfRule type="cellIs" dxfId="24" priority="2" operator="equal">
      <formula>0</formula>
    </cfRule>
  </conditionalFormatting>
  <conditionalFormatting sqref="F5 I5 L5 L9 I9 F9 F13 I13 L13">
    <cfRule type="cellIs" dxfId="23" priority="1" operator="equal">
      <formula>0</formula>
    </cfRule>
  </conditionalFormatting>
  <dataValidations count="6">
    <dataValidation type="list" allowBlank="1" showInputMessage="1" showErrorMessage="1" sqref="C3:C5" xr:uid="{F8F1CCDF-07AF-4EB4-9F8D-33EEA26E138B}">
      <formula1>$S$2:$S$22</formula1>
    </dataValidation>
    <dataValidation type="list" allowBlank="1" showErrorMessage="1" prompt="Enter Start Time" sqref="F11:F12 I11:I12 L11:L12" xr:uid="{C00273E8-C7A5-4897-90C1-7C732F53E2AE}">
      <formula1>$P$2:$P$60</formula1>
    </dataValidation>
    <dataValidation type="list" allowBlank="1" showErrorMessage="1" prompt="Enter Start Time" sqref="I7:I8 F7:F8 L7:L8" xr:uid="{C8E712B5-776B-4772-8701-B4F58E218E66}">
      <formula1>$O$2:$O$60</formula1>
    </dataValidation>
    <dataValidation type="list" allowBlank="1" showErrorMessage="1" prompt="Enter Start Time" sqref="F3:F4 I3:I4 L3:L4" xr:uid="{E6A6B130-1F45-442E-A97C-5036C4A5392A}">
      <formula1>$N$2:$N$60</formula1>
    </dataValidation>
    <dataValidation type="list" allowBlank="1" showInputMessage="1" showErrorMessage="1" sqref="C9" xr:uid="{F3066C2D-D765-4CC2-8340-CEEDD5BE1C26}">
      <formula1>$R$3:$R$7</formula1>
    </dataValidation>
    <dataValidation type="list" allowBlank="1" showInputMessage="1" showErrorMessage="1" sqref="C8" xr:uid="{E3326447-D7AD-4261-BE76-9DEA146FA9CF}">
      <formula1>$Q$3:$Q$12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46E1E-BA8D-483D-9601-2FB7DE27D196}">
  <sheetPr codeName="Sheet3"/>
  <dimension ref="A1:AH85"/>
  <sheetViews>
    <sheetView zoomScale="85" zoomScaleNormal="85" workbookViewId="0">
      <selection activeCell="C9" sqref="C9"/>
    </sheetView>
  </sheetViews>
  <sheetFormatPr defaultRowHeight="14.5" x14ac:dyDescent="0.35"/>
  <cols>
    <col min="2" max="2" width="33.90625" customWidth="1"/>
    <col min="3" max="3" width="11.90625" customWidth="1"/>
    <col min="4" max="4" width="5.6328125" customWidth="1"/>
    <col min="5" max="5" width="20.08984375" customWidth="1"/>
    <col min="6" max="6" width="15.81640625" customWidth="1"/>
    <col min="7" max="7" width="14.36328125" customWidth="1"/>
    <col min="8" max="8" width="14.6328125" hidden="1" customWidth="1"/>
    <col min="9" max="9" width="14" hidden="1" customWidth="1"/>
    <col min="10" max="10" width="13.453125" hidden="1" customWidth="1"/>
    <col min="11" max="11" width="14" hidden="1" customWidth="1"/>
    <col min="12" max="12" width="13.54296875" hidden="1" customWidth="1"/>
    <col min="13" max="13" width="13.1796875" hidden="1" customWidth="1"/>
    <col min="14" max="14" width="11.26953125" hidden="1" customWidth="1"/>
    <col min="15" max="15" width="11.08984375" hidden="1" customWidth="1"/>
    <col min="16" max="16" width="8.7265625" hidden="1" customWidth="1"/>
  </cols>
  <sheetData>
    <row r="1" spans="1:34" ht="17.5" customHeight="1" x14ac:dyDescent="0.35">
      <c r="A1" s="1"/>
      <c r="B1" s="1"/>
      <c r="C1" s="1"/>
      <c r="D1" s="1"/>
      <c r="E1" s="1"/>
      <c r="F1" s="1"/>
      <c r="G1" s="1"/>
      <c r="H1" s="2" t="s">
        <v>27</v>
      </c>
      <c r="I1" s="2" t="s">
        <v>28</v>
      </c>
      <c r="J1" s="2" t="s">
        <v>25</v>
      </c>
      <c r="K1" s="2" t="s">
        <v>26</v>
      </c>
      <c r="L1" s="2" t="s">
        <v>11</v>
      </c>
      <c r="M1" s="3" t="s">
        <v>2</v>
      </c>
      <c r="N1" s="2" t="s">
        <v>16</v>
      </c>
      <c r="O1" s="3" t="s">
        <v>15</v>
      </c>
      <c r="P1" s="3" t="s">
        <v>39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7.5" customHeight="1" x14ac:dyDescent="0.35">
      <c r="A2" s="1"/>
      <c r="B2" s="24" t="s">
        <v>38</v>
      </c>
      <c r="C2" s="16" t="s">
        <v>41</v>
      </c>
      <c r="D2" s="1"/>
      <c r="E2" s="19" t="s">
        <v>17</v>
      </c>
      <c r="F2" s="7">
        <v>40539.333333333336</v>
      </c>
      <c r="G2" s="1"/>
      <c r="H2" s="46"/>
      <c r="I2" s="46"/>
      <c r="J2" s="46"/>
      <c r="K2" s="46"/>
      <c r="L2" s="46"/>
      <c r="M2" s="47"/>
      <c r="N2" s="46"/>
      <c r="O2" s="47"/>
      <c r="P2" s="5" t="s">
        <v>40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5" customHeight="1" x14ac:dyDescent="0.35">
      <c r="A3" s="1"/>
      <c r="B3" s="30" t="s">
        <v>6</v>
      </c>
      <c r="C3" s="17">
        <v>60</v>
      </c>
      <c r="D3" s="1"/>
      <c r="E3" s="20" t="s">
        <v>18</v>
      </c>
      <c r="F3" s="8">
        <v>40539.375</v>
      </c>
      <c r="G3" s="1"/>
      <c r="H3" s="4"/>
      <c r="I3" s="4"/>
      <c r="J3" s="4"/>
      <c r="K3" s="4"/>
      <c r="L3" s="4"/>
      <c r="M3" s="5">
        <v>15</v>
      </c>
      <c r="N3" s="5">
        <v>1</v>
      </c>
      <c r="O3" s="5">
        <v>1</v>
      </c>
      <c r="P3" s="5" t="s">
        <v>41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5" customHeight="1" x14ac:dyDescent="0.35">
      <c r="A4" s="1"/>
      <c r="B4" s="30" t="str">
        <f>IF(C2="Individuals","No. matches per player for the week","No. Matches per Team for the week")</f>
        <v>No. Matches per Team for the week</v>
      </c>
      <c r="C4" s="17">
        <v>1</v>
      </c>
      <c r="D4" s="1"/>
      <c r="E4" s="21" t="s">
        <v>12</v>
      </c>
      <c r="F4" s="14">
        <f>IF(F3-F2&lt;0,"",IF(F3+F2=0,"",IF(F2="","",((F3-F2)*1440)/60)))</f>
        <v>0.99999999994179234</v>
      </c>
      <c r="G4" s="1"/>
      <c r="H4" s="4">
        <v>40539.333333333336</v>
      </c>
      <c r="I4" s="4">
        <v>40540.333333333336</v>
      </c>
      <c r="J4" s="4">
        <v>40541.333333333336</v>
      </c>
      <c r="K4" s="4">
        <v>40542.333333333336</v>
      </c>
      <c r="L4" s="4">
        <v>40543.333333333336</v>
      </c>
      <c r="M4" s="5">
        <v>20</v>
      </c>
      <c r="N4" s="5">
        <v>2</v>
      </c>
      <c r="O4" s="5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5" customHeight="1" x14ac:dyDescent="0.35">
      <c r="A5" s="1"/>
      <c r="B5" s="27" t="s">
        <v>7</v>
      </c>
      <c r="C5" s="18">
        <v>1</v>
      </c>
      <c r="D5" s="1"/>
      <c r="E5" s="22"/>
      <c r="F5" s="1"/>
      <c r="G5" s="1"/>
      <c r="H5" s="4">
        <f t="shared" ref="H5:H21" si="0">H4+TIME(0,$C$3,0)</f>
        <v>40539.375</v>
      </c>
      <c r="I5" s="4">
        <f t="shared" ref="I5:I21" si="1">I4+TIME(0,$C$3,0)</f>
        <v>40540.375</v>
      </c>
      <c r="J5" s="4">
        <f t="shared" ref="J5:J21" si="2">J4+TIME(0,$C$3,0)</f>
        <v>40541.375</v>
      </c>
      <c r="K5" s="4">
        <f t="shared" ref="K5:K21" si="3">K4+TIME(0,$C$3,0)</f>
        <v>40542.375</v>
      </c>
      <c r="L5" s="4">
        <f t="shared" ref="L5:L21" si="4">L4+TIME(0,$C$3,0)</f>
        <v>40543.375</v>
      </c>
      <c r="M5" s="5">
        <v>25</v>
      </c>
      <c r="N5" s="5">
        <v>3</v>
      </c>
      <c r="O5" s="5">
        <v>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5" customHeight="1" x14ac:dyDescent="0.35">
      <c r="A6" s="1"/>
      <c r="B6" s="1"/>
      <c r="C6" s="1"/>
      <c r="D6" s="1"/>
      <c r="E6" s="19" t="s">
        <v>19</v>
      </c>
      <c r="F6" s="7">
        <v>40540.333333333336</v>
      </c>
      <c r="G6" s="1"/>
      <c r="H6" s="4">
        <f t="shared" si="0"/>
        <v>40539.416666666664</v>
      </c>
      <c r="I6" s="4">
        <f t="shared" si="1"/>
        <v>40540.416666666664</v>
      </c>
      <c r="J6" s="4">
        <f t="shared" si="2"/>
        <v>40541.416666666664</v>
      </c>
      <c r="K6" s="4">
        <f t="shared" si="3"/>
        <v>40542.416666666664</v>
      </c>
      <c r="L6" s="4">
        <f t="shared" si="4"/>
        <v>40543.416666666664</v>
      </c>
      <c r="M6" s="5">
        <v>30</v>
      </c>
      <c r="N6" s="5">
        <v>4</v>
      </c>
      <c r="O6" s="5">
        <v>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5" customHeight="1" x14ac:dyDescent="0.35">
      <c r="A7" s="1"/>
      <c r="B7" s="1"/>
      <c r="C7" s="1"/>
      <c r="D7" s="1"/>
      <c r="E7" s="20" t="s">
        <v>20</v>
      </c>
      <c r="F7" s="8">
        <v>40540.375000000007</v>
      </c>
      <c r="G7" s="1"/>
      <c r="H7" s="4">
        <f t="shared" si="0"/>
        <v>40539.458333333328</v>
      </c>
      <c r="I7" s="4">
        <f t="shared" si="1"/>
        <v>40540.458333333328</v>
      </c>
      <c r="J7" s="4">
        <f t="shared" si="2"/>
        <v>40541.458333333328</v>
      </c>
      <c r="K7" s="4">
        <f t="shared" si="3"/>
        <v>40542.458333333328</v>
      </c>
      <c r="L7" s="4">
        <f t="shared" si="4"/>
        <v>40543.458333333328</v>
      </c>
      <c r="M7" s="5">
        <v>40</v>
      </c>
      <c r="N7" s="5">
        <v>5</v>
      </c>
      <c r="O7" s="5">
        <v>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5" customHeight="1" x14ac:dyDescent="0.35">
      <c r="A8" s="1"/>
      <c r="B8" s="9" t="str">
        <f>"No. matches per hour"</f>
        <v>No. matches per hour</v>
      </c>
      <c r="C8" s="10">
        <f>IF(C3="","",IF(C5="","",C5*(60/C3)))</f>
        <v>1</v>
      </c>
      <c r="D8" s="1"/>
      <c r="E8" s="21" t="s">
        <v>12</v>
      </c>
      <c r="F8" s="14">
        <f>IF(F7-F6&lt;0,"",IF(F7+F6=0,"",IF(F6="","",((F7-F6)*1440)/60)))</f>
        <v>1.0000000001164153</v>
      </c>
      <c r="G8" s="1"/>
      <c r="H8" s="4">
        <f t="shared" si="0"/>
        <v>40539.499999999993</v>
      </c>
      <c r="I8" s="4">
        <f t="shared" si="1"/>
        <v>40540.499999999993</v>
      </c>
      <c r="J8" s="4">
        <f t="shared" si="2"/>
        <v>40541.499999999993</v>
      </c>
      <c r="K8" s="4">
        <f t="shared" si="3"/>
        <v>40542.499999999993</v>
      </c>
      <c r="L8" s="4">
        <f t="shared" si="4"/>
        <v>40543.499999999993</v>
      </c>
      <c r="M8" s="5">
        <v>45</v>
      </c>
      <c r="N8" s="5"/>
      <c r="O8" s="5">
        <v>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5" customHeight="1" x14ac:dyDescent="0.35">
      <c r="A9" s="1"/>
      <c r="B9" s="15" t="str">
        <f>IF(AND(F2="",F3=""),"","Max. no. matches possible Mon")</f>
        <v>Max. no. matches possible Mon</v>
      </c>
      <c r="C9" s="11">
        <f>IF(F4="","",F4*$C$8)</f>
        <v>0.99999999994179234</v>
      </c>
      <c r="D9" s="1"/>
      <c r="E9" s="22"/>
      <c r="F9" s="1"/>
      <c r="G9" s="1"/>
      <c r="H9" s="4">
        <f t="shared" si="0"/>
        <v>40539.541666666657</v>
      </c>
      <c r="I9" s="4">
        <f t="shared" si="1"/>
        <v>40540.541666666657</v>
      </c>
      <c r="J9" s="4">
        <f t="shared" si="2"/>
        <v>40541.541666666657</v>
      </c>
      <c r="K9" s="4">
        <f t="shared" si="3"/>
        <v>40542.541666666657</v>
      </c>
      <c r="L9" s="4">
        <f t="shared" si="4"/>
        <v>40543.541666666657</v>
      </c>
      <c r="M9" s="31">
        <v>60</v>
      </c>
      <c r="N9" s="6"/>
      <c r="O9" s="5">
        <v>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5" customHeight="1" x14ac:dyDescent="0.35">
      <c r="A10" s="1"/>
      <c r="B10" s="15" t="str">
        <f>IF(AND(F6="",F7=""),"","Max. no. matches possible Tues")</f>
        <v>Max. no. matches possible Tues</v>
      </c>
      <c r="C10" s="11">
        <f>IF(F8="","",F8*$C$8)</f>
        <v>1.0000000001164153</v>
      </c>
      <c r="D10" s="1"/>
      <c r="E10" s="24" t="s">
        <v>21</v>
      </c>
      <c r="F10" s="7">
        <v>40541.333333333336</v>
      </c>
      <c r="G10" s="1"/>
      <c r="H10" s="4">
        <f t="shared" si="0"/>
        <v>40539.583333333321</v>
      </c>
      <c r="I10" s="4">
        <f t="shared" si="1"/>
        <v>40540.583333333321</v>
      </c>
      <c r="J10" s="4">
        <f t="shared" si="2"/>
        <v>40541.583333333321</v>
      </c>
      <c r="K10" s="4">
        <f t="shared" si="3"/>
        <v>40542.583333333321</v>
      </c>
      <c r="L10" s="4">
        <f t="shared" si="4"/>
        <v>40543.583333333321</v>
      </c>
      <c r="M10" s="31">
        <v>100</v>
      </c>
      <c r="N10" s="6"/>
      <c r="O10" s="5">
        <v>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4.5" customHeight="1" x14ac:dyDescent="0.35">
      <c r="A11" s="1"/>
      <c r="B11" s="15" t="str">
        <f>IF(AND(F10="",F11=""),"","Max. no. matches possible Wed")</f>
        <v>Max. no. matches possible Wed</v>
      </c>
      <c r="C11" s="11">
        <f>IF(F12="","",F12*$C$8)</f>
        <v>1.0000000001164153</v>
      </c>
      <c r="D11" s="1"/>
      <c r="E11" s="25" t="s">
        <v>22</v>
      </c>
      <c r="F11" s="8">
        <v>40541.375000000007</v>
      </c>
      <c r="G11" s="1"/>
      <c r="H11" s="4">
        <f t="shared" si="0"/>
        <v>40539.624999999985</v>
      </c>
      <c r="I11" s="4">
        <f t="shared" si="1"/>
        <v>40540.624999999985</v>
      </c>
      <c r="J11" s="4">
        <f t="shared" si="2"/>
        <v>40541.624999999985</v>
      </c>
      <c r="K11" s="4">
        <f t="shared" si="3"/>
        <v>40542.624999999985</v>
      </c>
      <c r="L11" s="4">
        <f t="shared" si="4"/>
        <v>40543.624999999985</v>
      </c>
      <c r="M11" s="5">
        <v>120</v>
      </c>
      <c r="N11" s="6"/>
      <c r="O11" s="5">
        <v>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4.5" customHeight="1" x14ac:dyDescent="0.35">
      <c r="A12" s="1"/>
      <c r="B12" s="15" t="str">
        <f>IF(AND(F14="",F15=""),"","Max. no. matches possible Thurs")</f>
        <v>Max. no. matches possible Thurs</v>
      </c>
      <c r="C12" s="11">
        <f>IF(F16="","",F16*$C$8)</f>
        <v>0.99999999994179234</v>
      </c>
      <c r="D12" s="1"/>
      <c r="E12" s="21" t="s">
        <v>12</v>
      </c>
      <c r="F12" s="14">
        <f>IF(F11-F10&lt;0,"",IF(F11+F10=0,"",IF(F10="","",((F11-F10)*1440)/60)))</f>
        <v>1.0000000001164153</v>
      </c>
      <c r="G12" s="1"/>
      <c r="H12" s="4">
        <f t="shared" si="0"/>
        <v>40539.66666666665</v>
      </c>
      <c r="I12" s="4">
        <f t="shared" si="1"/>
        <v>40540.66666666665</v>
      </c>
      <c r="J12" s="4">
        <f t="shared" si="2"/>
        <v>40541.66666666665</v>
      </c>
      <c r="K12" s="4">
        <f t="shared" si="3"/>
        <v>40542.66666666665</v>
      </c>
      <c r="L12" s="4">
        <f t="shared" si="4"/>
        <v>40543.66666666665</v>
      </c>
      <c r="M12" s="6"/>
      <c r="N12" s="6"/>
      <c r="O12" s="5">
        <v>10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5" customHeight="1" x14ac:dyDescent="0.35">
      <c r="A13" s="1"/>
      <c r="B13" s="15" t="str">
        <f>IF(AND(F18="",F19=""),"","Max. no. matches possible Fri")</f>
        <v>Max. no. matches possible Fri</v>
      </c>
      <c r="C13" s="11">
        <f>IF(F20="","",F20*$C$8)</f>
        <v>0.99999999994179234</v>
      </c>
      <c r="D13" s="1"/>
      <c r="E13" s="1"/>
      <c r="F13" s="1"/>
      <c r="G13" s="1"/>
      <c r="H13" s="4">
        <f t="shared" si="0"/>
        <v>40539.708333333314</v>
      </c>
      <c r="I13" s="4">
        <f t="shared" si="1"/>
        <v>40540.708333333314</v>
      </c>
      <c r="J13" s="4">
        <f t="shared" si="2"/>
        <v>40541.708333333314</v>
      </c>
      <c r="K13" s="4">
        <f t="shared" si="3"/>
        <v>40542.708333333314</v>
      </c>
      <c r="L13" s="4">
        <f t="shared" si="4"/>
        <v>40543.708333333314</v>
      </c>
      <c r="M13" s="6"/>
      <c r="N13" s="6"/>
      <c r="O13" s="5">
        <v>11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5" customHeight="1" x14ac:dyDescent="0.35">
      <c r="A14" s="1"/>
      <c r="B14" s="15" t="str">
        <f>IF(C14="","","Max. no. matches possible for  week")</f>
        <v>Max. no. matches possible for  week</v>
      </c>
      <c r="C14" s="29">
        <f>IF(SUM(C9:C13)=0,"",SUM(C9:C13))</f>
        <v>5.0000000000582077</v>
      </c>
      <c r="D14" s="1"/>
      <c r="E14" s="19" t="s">
        <v>23</v>
      </c>
      <c r="F14" s="7">
        <v>40542.333333333336</v>
      </c>
      <c r="G14" s="1"/>
      <c r="H14" s="4">
        <f t="shared" si="0"/>
        <v>40539.749999999978</v>
      </c>
      <c r="I14" s="4">
        <f t="shared" si="1"/>
        <v>40540.749999999978</v>
      </c>
      <c r="J14" s="4">
        <f t="shared" si="2"/>
        <v>40541.749999999978</v>
      </c>
      <c r="K14" s="4">
        <f t="shared" si="3"/>
        <v>40542.749999999978</v>
      </c>
      <c r="L14" s="4">
        <f t="shared" si="4"/>
        <v>40543.749999999978</v>
      </c>
      <c r="M14" s="6"/>
      <c r="N14" s="6"/>
      <c r="O14" s="5">
        <v>12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5" customHeight="1" x14ac:dyDescent="0.35">
      <c r="A15" s="1"/>
      <c r="B15" s="9" t="str">
        <f>IF(C2="Individuals","Max. no. Players","Max. no. Teams")</f>
        <v>Max. no. Teams</v>
      </c>
      <c r="C15" s="28">
        <f>IF(C14="","",2*C14/C4)</f>
        <v>10.000000000116415</v>
      </c>
      <c r="D15" s="1"/>
      <c r="E15" s="20" t="s">
        <v>24</v>
      </c>
      <c r="F15" s="8">
        <v>40542.375</v>
      </c>
      <c r="G15" s="1"/>
      <c r="H15" s="4">
        <f t="shared" si="0"/>
        <v>40539.791666666642</v>
      </c>
      <c r="I15" s="4">
        <f t="shared" si="1"/>
        <v>40540.791666666642</v>
      </c>
      <c r="J15" s="4">
        <f t="shared" si="2"/>
        <v>40541.791666666642</v>
      </c>
      <c r="K15" s="4">
        <f t="shared" si="3"/>
        <v>40542.791666666642</v>
      </c>
      <c r="L15" s="4">
        <f t="shared" si="4"/>
        <v>40543.791666666642</v>
      </c>
      <c r="M15" s="6"/>
      <c r="N15" s="6"/>
      <c r="O15" s="5">
        <v>13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5" customHeight="1" x14ac:dyDescent="0.35">
      <c r="A16" s="1"/>
      <c r="B16" s="1"/>
      <c r="C16" s="1"/>
      <c r="D16" s="1"/>
      <c r="E16" s="21" t="s">
        <v>12</v>
      </c>
      <c r="F16" s="14">
        <f>IF(F15-F14&lt;0,"",IF(F15+F14=0,"",IF(F14="","",((F15-F14)*1440)/60)))</f>
        <v>0.99999999994179234</v>
      </c>
      <c r="G16" s="1"/>
      <c r="H16" s="4">
        <f t="shared" si="0"/>
        <v>40539.833333333307</v>
      </c>
      <c r="I16" s="4">
        <f t="shared" si="1"/>
        <v>40540.833333333307</v>
      </c>
      <c r="J16" s="4">
        <f t="shared" si="2"/>
        <v>40541.833333333307</v>
      </c>
      <c r="K16" s="4">
        <f t="shared" si="3"/>
        <v>40542.833333333307</v>
      </c>
      <c r="L16" s="4">
        <f t="shared" si="4"/>
        <v>40543.833333333307</v>
      </c>
      <c r="M16" s="6"/>
      <c r="N16" s="6"/>
      <c r="O16" s="5">
        <v>14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5" customHeight="1" x14ac:dyDescent="0.35">
      <c r="A17" s="1"/>
      <c r="B17" s="1"/>
      <c r="C17" s="1"/>
      <c r="D17" s="1"/>
      <c r="E17" s="22"/>
      <c r="F17" s="1"/>
      <c r="G17" s="1"/>
      <c r="H17" s="4">
        <f t="shared" si="0"/>
        <v>40539.874999999971</v>
      </c>
      <c r="I17" s="4">
        <f t="shared" si="1"/>
        <v>40540.874999999971</v>
      </c>
      <c r="J17" s="4">
        <f t="shared" si="2"/>
        <v>40541.874999999971</v>
      </c>
      <c r="K17" s="4">
        <f t="shared" si="3"/>
        <v>40542.874999999971</v>
      </c>
      <c r="L17" s="4">
        <f t="shared" si="4"/>
        <v>40543.874999999971</v>
      </c>
      <c r="M17" s="6"/>
      <c r="N17" s="6"/>
      <c r="O17" s="5">
        <v>15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4.5" customHeight="1" x14ac:dyDescent="0.35">
      <c r="A18" s="1"/>
      <c r="B18" s="1"/>
      <c r="C18" s="1"/>
      <c r="D18" s="1"/>
      <c r="E18" s="19" t="s">
        <v>9</v>
      </c>
      <c r="F18" s="7">
        <v>40543.333333333336</v>
      </c>
      <c r="G18" s="1"/>
      <c r="H18" s="4">
        <f t="shared" si="0"/>
        <v>40539.916666666635</v>
      </c>
      <c r="I18" s="4">
        <f t="shared" si="1"/>
        <v>40540.916666666635</v>
      </c>
      <c r="J18" s="4">
        <f t="shared" si="2"/>
        <v>40541.916666666635</v>
      </c>
      <c r="K18" s="4">
        <f t="shared" si="3"/>
        <v>40542.916666666635</v>
      </c>
      <c r="L18" s="4">
        <f t="shared" si="4"/>
        <v>40543.916666666635</v>
      </c>
      <c r="M18" s="6"/>
      <c r="N18" s="6"/>
      <c r="O18" s="5">
        <v>16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4.5" customHeight="1" x14ac:dyDescent="0.35">
      <c r="A19" s="1"/>
      <c r="B19" s="1"/>
      <c r="C19" s="1"/>
      <c r="D19" s="1"/>
      <c r="E19" s="20" t="s">
        <v>10</v>
      </c>
      <c r="F19" s="8">
        <v>40543.375</v>
      </c>
      <c r="G19" s="1"/>
      <c r="H19" s="4">
        <f t="shared" si="0"/>
        <v>40539.958333333299</v>
      </c>
      <c r="I19" s="4">
        <f t="shared" si="1"/>
        <v>40540.958333333299</v>
      </c>
      <c r="J19" s="4">
        <f t="shared" si="2"/>
        <v>40541.958333333299</v>
      </c>
      <c r="K19" s="4">
        <f t="shared" si="3"/>
        <v>40542.958333333299</v>
      </c>
      <c r="L19" s="4">
        <f t="shared" si="4"/>
        <v>40543.958333333299</v>
      </c>
      <c r="M19" s="6"/>
      <c r="N19" s="6"/>
      <c r="O19" s="5">
        <v>17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4.5" customHeight="1" x14ac:dyDescent="0.35">
      <c r="A20" s="1"/>
      <c r="B20" s="1"/>
      <c r="C20" s="1"/>
      <c r="D20" s="1"/>
      <c r="E20" s="21" t="s">
        <v>12</v>
      </c>
      <c r="F20" s="14">
        <f>IF(F19-F18&lt;0,"",IF(F19+F18=0,"",IF(F18="","",((F19-F18)*1440)/60)))</f>
        <v>0.99999999994179234</v>
      </c>
      <c r="G20" s="1"/>
      <c r="H20" s="4">
        <f t="shared" si="0"/>
        <v>40539.999999999964</v>
      </c>
      <c r="I20" s="4">
        <f t="shared" si="1"/>
        <v>40540.999999999964</v>
      </c>
      <c r="J20" s="4">
        <f t="shared" si="2"/>
        <v>40541.999999999964</v>
      </c>
      <c r="K20" s="4">
        <f t="shared" si="3"/>
        <v>40542.999999999964</v>
      </c>
      <c r="L20" s="4">
        <f t="shared" si="4"/>
        <v>40543.999999999964</v>
      </c>
      <c r="M20" s="6"/>
      <c r="N20" s="6"/>
      <c r="O20" s="5">
        <v>18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4.5" customHeight="1" x14ac:dyDescent="0.35">
      <c r="A21" s="1"/>
      <c r="B21" s="1"/>
      <c r="C21" s="1"/>
      <c r="D21" s="1"/>
      <c r="E21" s="1"/>
      <c r="F21" s="1"/>
      <c r="G21" s="1"/>
      <c r="H21" s="4">
        <f t="shared" si="0"/>
        <v>40540.041666666628</v>
      </c>
      <c r="I21" s="4">
        <f t="shared" si="1"/>
        <v>40541.041666666628</v>
      </c>
      <c r="J21" s="4">
        <f t="shared" si="2"/>
        <v>40542.041666666628</v>
      </c>
      <c r="K21" s="4">
        <f t="shared" si="3"/>
        <v>40543.041666666628</v>
      </c>
      <c r="L21" s="4">
        <f t="shared" si="4"/>
        <v>40544.041666666628</v>
      </c>
      <c r="M21" s="6"/>
      <c r="N21" s="6"/>
      <c r="O21" s="5">
        <v>19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35">
      <c r="A22" s="1"/>
      <c r="B22" s="67"/>
      <c r="C22" s="89" t="s">
        <v>31</v>
      </c>
      <c r="D22" s="86"/>
      <c r="E22" s="43" t="s">
        <v>37</v>
      </c>
      <c r="F22" s="1"/>
      <c r="G22" s="1"/>
      <c r="H22" s="4">
        <f t="shared" ref="H22:H51" si="5">H21+TIME(0,$C$3,0)</f>
        <v>40540.083333333292</v>
      </c>
      <c r="I22" s="4">
        <f t="shared" ref="I22:I23" si="6">I21+TIME(0,$C$3,0)</f>
        <v>40541.083333333292</v>
      </c>
      <c r="J22" s="4">
        <f t="shared" ref="J22:J51" si="7">J21+TIME(0,$C$3,0)</f>
        <v>40542.083333333292</v>
      </c>
      <c r="K22" s="4">
        <f t="shared" ref="K22:K51" si="8">K21+TIME(0,$C$3,0)</f>
        <v>40543.083333333292</v>
      </c>
      <c r="L22" s="4">
        <f t="shared" ref="L22:L51" si="9">L21+TIME(0,$C$3,0)</f>
        <v>40544.083333333292</v>
      </c>
      <c r="M22" s="6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35">
      <c r="A23" s="1"/>
      <c r="B23" s="66" t="s">
        <v>42</v>
      </c>
      <c r="C23" s="87">
        <v>10</v>
      </c>
      <c r="D23" s="88"/>
      <c r="E23" s="44">
        <f>C5*C23*(F4+F8+F12+F16+F20)</f>
        <v>50.000000000582077</v>
      </c>
      <c r="F23" s="1"/>
      <c r="G23" s="1"/>
      <c r="H23" s="4">
        <f t="shared" si="5"/>
        <v>40540.124999999956</v>
      </c>
      <c r="I23" s="4">
        <f t="shared" si="6"/>
        <v>40541.124999999956</v>
      </c>
      <c r="J23" s="4">
        <f t="shared" si="7"/>
        <v>40542.124999999956</v>
      </c>
      <c r="K23" s="4">
        <f t="shared" si="8"/>
        <v>40543.124999999956</v>
      </c>
      <c r="L23" s="4">
        <f t="shared" si="9"/>
        <v>40544.124999999956</v>
      </c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35">
      <c r="A24" s="1"/>
      <c r="B24" s="82" t="s">
        <v>43</v>
      </c>
      <c r="C24" s="83"/>
      <c r="D24" s="83"/>
      <c r="E24" s="45">
        <f>E23</f>
        <v>50.000000000582077</v>
      </c>
      <c r="F24" s="1"/>
      <c r="G24" s="1"/>
      <c r="H24" s="4">
        <f t="shared" si="5"/>
        <v>40540.166666666621</v>
      </c>
      <c r="I24" s="4">
        <f t="shared" ref="I24:I51" si="10">I23+TIME(0,$C$3,0)</f>
        <v>40541.166666666621</v>
      </c>
      <c r="J24" s="4">
        <f t="shared" si="7"/>
        <v>40542.166666666621</v>
      </c>
      <c r="K24" s="4">
        <f t="shared" si="8"/>
        <v>40543.166666666621</v>
      </c>
      <c r="L24" s="4">
        <f t="shared" si="9"/>
        <v>40544.166666666621</v>
      </c>
      <c r="M24" s="6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35">
      <c r="A25" s="1"/>
      <c r="B25" s="1"/>
      <c r="C25" s="1"/>
      <c r="D25" s="1"/>
      <c r="E25" s="1"/>
      <c r="G25" s="1"/>
      <c r="H25" s="4">
        <f t="shared" si="5"/>
        <v>40540.208333333285</v>
      </c>
      <c r="I25" s="4">
        <f t="shared" si="10"/>
        <v>40541.208333333285</v>
      </c>
      <c r="J25" s="4">
        <f t="shared" si="7"/>
        <v>40542.208333333285</v>
      </c>
      <c r="K25" s="4">
        <f t="shared" si="8"/>
        <v>40543.208333333285</v>
      </c>
      <c r="L25" s="4">
        <f t="shared" si="9"/>
        <v>40544.208333333285</v>
      </c>
      <c r="M25" s="6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35">
      <c r="A26" s="1"/>
      <c r="B26" s="1"/>
      <c r="C26" s="1"/>
      <c r="D26" s="1"/>
      <c r="E26" s="1"/>
      <c r="F26" s="1"/>
      <c r="G26" s="1"/>
      <c r="H26" s="4">
        <f t="shared" si="5"/>
        <v>40540.249999999949</v>
      </c>
      <c r="I26" s="4">
        <f t="shared" si="10"/>
        <v>40541.249999999949</v>
      </c>
      <c r="J26" s="4">
        <f t="shared" si="7"/>
        <v>40542.249999999949</v>
      </c>
      <c r="K26" s="4">
        <f t="shared" si="8"/>
        <v>40543.249999999949</v>
      </c>
      <c r="L26" s="4">
        <f t="shared" si="9"/>
        <v>40544.249999999949</v>
      </c>
      <c r="M26" s="6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35">
      <c r="A27" s="1"/>
      <c r="B27" s="1"/>
      <c r="C27" s="1"/>
      <c r="D27" s="1"/>
      <c r="E27" s="1"/>
      <c r="F27" s="1"/>
      <c r="G27" s="1"/>
      <c r="H27" s="4">
        <f t="shared" si="5"/>
        <v>40540.291666666613</v>
      </c>
      <c r="I27" s="4">
        <f t="shared" si="10"/>
        <v>40541.291666666613</v>
      </c>
      <c r="J27" s="4">
        <f t="shared" si="7"/>
        <v>40542.291666666613</v>
      </c>
      <c r="K27" s="4">
        <f t="shared" si="8"/>
        <v>40543.291666666613</v>
      </c>
      <c r="L27" s="4">
        <f t="shared" si="9"/>
        <v>40544.291666666613</v>
      </c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35">
      <c r="A28" s="1"/>
      <c r="B28" s="1"/>
      <c r="C28" s="1"/>
      <c r="D28" s="1"/>
      <c r="E28" s="1"/>
      <c r="F28" s="1"/>
      <c r="G28" s="1"/>
      <c r="H28" s="4">
        <f t="shared" si="5"/>
        <v>40540.333333333278</v>
      </c>
      <c r="I28" s="4">
        <f t="shared" si="10"/>
        <v>40541.333333333278</v>
      </c>
      <c r="J28" s="4">
        <f t="shared" si="7"/>
        <v>40542.333333333278</v>
      </c>
      <c r="K28" s="4">
        <f t="shared" si="8"/>
        <v>40543.333333333278</v>
      </c>
      <c r="L28" s="4">
        <f t="shared" si="9"/>
        <v>40544.333333333278</v>
      </c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35">
      <c r="A29" s="1"/>
      <c r="B29" s="1"/>
      <c r="C29" s="1"/>
      <c r="D29" s="1"/>
      <c r="E29" s="1"/>
      <c r="F29" s="1"/>
      <c r="G29" s="1"/>
      <c r="H29" s="4">
        <f t="shared" si="5"/>
        <v>40540.374999999942</v>
      </c>
      <c r="I29" s="4">
        <f t="shared" si="10"/>
        <v>40541.374999999942</v>
      </c>
      <c r="J29" s="4">
        <f t="shared" si="7"/>
        <v>40542.374999999942</v>
      </c>
      <c r="K29" s="4">
        <f t="shared" si="8"/>
        <v>40543.374999999942</v>
      </c>
      <c r="L29" s="4">
        <f t="shared" si="9"/>
        <v>40544.374999999942</v>
      </c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 x14ac:dyDescent="0.35">
      <c r="A30" s="1"/>
      <c r="B30" s="1"/>
      <c r="C30" s="1"/>
      <c r="D30" s="1"/>
      <c r="E30" s="1"/>
      <c r="F30" s="1"/>
      <c r="G30" s="1"/>
      <c r="H30" s="4">
        <f t="shared" si="5"/>
        <v>40540.416666666606</v>
      </c>
      <c r="I30" s="4">
        <f t="shared" si="10"/>
        <v>40541.416666666606</v>
      </c>
      <c r="J30" s="4">
        <f t="shared" si="7"/>
        <v>40542.416666666606</v>
      </c>
      <c r="K30" s="4">
        <f t="shared" si="8"/>
        <v>40543.416666666606</v>
      </c>
      <c r="L30" s="4">
        <f t="shared" si="9"/>
        <v>40544.416666666606</v>
      </c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35">
      <c r="A31" s="1"/>
      <c r="B31" s="1"/>
      <c r="C31" s="1"/>
      <c r="D31" s="1"/>
      <c r="E31" s="1"/>
      <c r="F31" s="1"/>
      <c r="G31" s="1"/>
      <c r="H31" s="4">
        <f t="shared" si="5"/>
        <v>40540.45833333327</v>
      </c>
      <c r="I31" s="4">
        <f t="shared" si="10"/>
        <v>40541.45833333327</v>
      </c>
      <c r="J31" s="4">
        <f t="shared" si="7"/>
        <v>40542.45833333327</v>
      </c>
      <c r="K31" s="4">
        <f t="shared" si="8"/>
        <v>40543.45833333327</v>
      </c>
      <c r="L31" s="4">
        <f t="shared" si="9"/>
        <v>40544.45833333327</v>
      </c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35">
      <c r="A32" s="1"/>
      <c r="B32" s="1"/>
      <c r="C32" s="1"/>
      <c r="D32" s="1"/>
      <c r="E32" s="1"/>
      <c r="F32" s="1"/>
      <c r="G32" s="1"/>
      <c r="H32" s="4">
        <f t="shared" si="5"/>
        <v>40540.499999999935</v>
      </c>
      <c r="I32" s="4">
        <f t="shared" si="10"/>
        <v>40541.499999999935</v>
      </c>
      <c r="J32" s="4">
        <f t="shared" si="7"/>
        <v>40542.499999999935</v>
      </c>
      <c r="K32" s="4">
        <f t="shared" si="8"/>
        <v>40543.499999999935</v>
      </c>
      <c r="L32" s="4">
        <f t="shared" si="9"/>
        <v>40544.499999999935</v>
      </c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35">
      <c r="A33" s="1"/>
      <c r="B33" s="1"/>
      <c r="C33" s="1"/>
      <c r="D33" s="1"/>
      <c r="E33" s="1"/>
      <c r="F33" s="1"/>
      <c r="G33" s="1"/>
      <c r="H33" s="4">
        <f t="shared" si="5"/>
        <v>40540.541666666599</v>
      </c>
      <c r="I33" s="4">
        <f t="shared" si="10"/>
        <v>40541.541666666599</v>
      </c>
      <c r="J33" s="4">
        <f t="shared" si="7"/>
        <v>40542.541666666599</v>
      </c>
      <c r="K33" s="4">
        <f t="shared" si="8"/>
        <v>40543.541666666599</v>
      </c>
      <c r="L33" s="4">
        <f t="shared" si="9"/>
        <v>40544.541666666599</v>
      </c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35">
      <c r="A34" s="1"/>
      <c r="B34" s="1"/>
      <c r="C34" s="1"/>
      <c r="D34" s="1"/>
      <c r="E34" s="1"/>
      <c r="F34" s="1"/>
      <c r="G34" s="1"/>
      <c r="H34" s="4">
        <f t="shared" si="5"/>
        <v>40540.583333333263</v>
      </c>
      <c r="I34" s="4">
        <f t="shared" si="10"/>
        <v>40541.583333333263</v>
      </c>
      <c r="J34" s="4">
        <f t="shared" si="7"/>
        <v>40542.583333333263</v>
      </c>
      <c r="K34" s="4">
        <f t="shared" si="8"/>
        <v>40543.583333333263</v>
      </c>
      <c r="L34" s="4">
        <f t="shared" si="9"/>
        <v>40544.583333333263</v>
      </c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35">
      <c r="A35" s="1"/>
      <c r="G35" s="1"/>
      <c r="H35" s="4">
        <f t="shared" si="5"/>
        <v>40540.624999999927</v>
      </c>
      <c r="I35" s="4">
        <f t="shared" si="10"/>
        <v>40541.624999999927</v>
      </c>
      <c r="J35" s="4">
        <f t="shared" si="7"/>
        <v>40542.624999999927</v>
      </c>
      <c r="K35" s="4">
        <f t="shared" si="8"/>
        <v>40543.624999999927</v>
      </c>
      <c r="L35" s="4">
        <f t="shared" si="9"/>
        <v>40544.624999999927</v>
      </c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35">
      <c r="H36" s="4">
        <f t="shared" si="5"/>
        <v>40540.666666666591</v>
      </c>
      <c r="I36" s="4">
        <f t="shared" si="10"/>
        <v>40541.666666666591</v>
      </c>
      <c r="J36" s="4">
        <f t="shared" si="7"/>
        <v>40542.666666666591</v>
      </c>
      <c r="K36" s="4">
        <f t="shared" si="8"/>
        <v>40543.666666666591</v>
      </c>
      <c r="L36" s="4">
        <f t="shared" si="9"/>
        <v>40544.666666666591</v>
      </c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35">
      <c r="H37" s="4">
        <f t="shared" si="5"/>
        <v>40540.708333333256</v>
      </c>
      <c r="I37" s="4">
        <f t="shared" si="10"/>
        <v>40541.708333333256</v>
      </c>
      <c r="J37" s="4">
        <f t="shared" si="7"/>
        <v>40542.708333333256</v>
      </c>
      <c r="K37" s="4">
        <f t="shared" si="8"/>
        <v>40543.708333333256</v>
      </c>
      <c r="L37" s="4">
        <f t="shared" si="9"/>
        <v>40544.708333333256</v>
      </c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35">
      <c r="H38" s="4">
        <f t="shared" si="5"/>
        <v>40540.74999999992</v>
      </c>
      <c r="I38" s="4">
        <f t="shared" si="10"/>
        <v>40541.74999999992</v>
      </c>
      <c r="J38" s="4">
        <f t="shared" si="7"/>
        <v>40542.74999999992</v>
      </c>
      <c r="K38" s="4">
        <f t="shared" si="8"/>
        <v>40543.74999999992</v>
      </c>
      <c r="L38" s="4">
        <f t="shared" si="9"/>
        <v>40544.74999999992</v>
      </c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35">
      <c r="H39" s="4">
        <f t="shared" si="5"/>
        <v>40540.791666666584</v>
      </c>
      <c r="I39" s="4">
        <f t="shared" si="10"/>
        <v>40541.791666666584</v>
      </c>
      <c r="J39" s="4">
        <f t="shared" si="7"/>
        <v>40542.791666666584</v>
      </c>
      <c r="K39" s="4">
        <f t="shared" si="8"/>
        <v>40543.791666666584</v>
      </c>
      <c r="L39" s="4">
        <f t="shared" si="9"/>
        <v>40544.791666666584</v>
      </c>
      <c r="M39" s="6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35">
      <c r="H40" s="4">
        <f t="shared" si="5"/>
        <v>40540.833333333248</v>
      </c>
      <c r="I40" s="4">
        <f t="shared" si="10"/>
        <v>40541.833333333248</v>
      </c>
      <c r="J40" s="4">
        <f t="shared" si="7"/>
        <v>40542.833333333248</v>
      </c>
      <c r="K40" s="4">
        <f t="shared" si="8"/>
        <v>40543.833333333248</v>
      </c>
      <c r="L40" s="4">
        <f t="shared" si="9"/>
        <v>40544.833333333248</v>
      </c>
      <c r="M40" s="6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35">
      <c r="H41" s="4">
        <f t="shared" si="5"/>
        <v>40540.874999999913</v>
      </c>
      <c r="I41" s="4">
        <f t="shared" si="10"/>
        <v>40541.874999999913</v>
      </c>
      <c r="J41" s="4">
        <f t="shared" si="7"/>
        <v>40542.874999999913</v>
      </c>
      <c r="K41" s="4">
        <f t="shared" si="8"/>
        <v>40543.874999999913</v>
      </c>
      <c r="L41" s="4">
        <f t="shared" si="9"/>
        <v>40544.874999999913</v>
      </c>
      <c r="M41" s="6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35">
      <c r="H42" s="4">
        <f t="shared" si="5"/>
        <v>40540.916666666577</v>
      </c>
      <c r="I42" s="4">
        <f t="shared" si="10"/>
        <v>40541.916666666577</v>
      </c>
      <c r="J42" s="4">
        <f t="shared" si="7"/>
        <v>40542.916666666577</v>
      </c>
      <c r="K42" s="4">
        <f t="shared" si="8"/>
        <v>40543.916666666577</v>
      </c>
      <c r="L42" s="4">
        <f t="shared" si="9"/>
        <v>40544.916666666577</v>
      </c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35">
      <c r="H43" s="4">
        <f t="shared" si="5"/>
        <v>40540.958333333241</v>
      </c>
      <c r="I43" s="4">
        <f t="shared" si="10"/>
        <v>40541.958333333241</v>
      </c>
      <c r="J43" s="4">
        <f t="shared" si="7"/>
        <v>40542.958333333241</v>
      </c>
      <c r="K43" s="4">
        <f t="shared" si="8"/>
        <v>40543.958333333241</v>
      </c>
      <c r="L43" s="4">
        <f t="shared" si="9"/>
        <v>40544.958333333241</v>
      </c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35">
      <c r="H44" s="4">
        <f t="shared" si="5"/>
        <v>40540.999999999905</v>
      </c>
      <c r="I44" s="4">
        <f t="shared" si="10"/>
        <v>40541.999999999905</v>
      </c>
      <c r="J44" s="4">
        <f t="shared" si="7"/>
        <v>40542.999999999905</v>
      </c>
      <c r="K44" s="4">
        <f t="shared" si="8"/>
        <v>40543.999999999905</v>
      </c>
      <c r="L44" s="4">
        <f t="shared" si="9"/>
        <v>40544.999999999905</v>
      </c>
      <c r="M44" s="6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35">
      <c r="H45" s="4">
        <f t="shared" si="5"/>
        <v>40541.04166666657</v>
      </c>
      <c r="I45" s="4">
        <f t="shared" si="10"/>
        <v>40542.04166666657</v>
      </c>
      <c r="J45" s="4">
        <f t="shared" si="7"/>
        <v>40543.04166666657</v>
      </c>
      <c r="K45" s="4">
        <f t="shared" si="8"/>
        <v>40544.04166666657</v>
      </c>
      <c r="L45" s="4">
        <f t="shared" si="9"/>
        <v>40545.04166666657</v>
      </c>
      <c r="M45" s="6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35">
      <c r="H46" s="4">
        <f t="shared" si="5"/>
        <v>40541.083333333234</v>
      </c>
      <c r="I46" s="4">
        <f t="shared" si="10"/>
        <v>40542.083333333234</v>
      </c>
      <c r="J46" s="4">
        <f t="shared" si="7"/>
        <v>40543.083333333234</v>
      </c>
      <c r="K46" s="4">
        <f t="shared" si="8"/>
        <v>40544.083333333234</v>
      </c>
      <c r="L46" s="4">
        <f t="shared" si="9"/>
        <v>40545.083333333234</v>
      </c>
      <c r="M46" s="6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35">
      <c r="H47" s="4">
        <f t="shared" si="5"/>
        <v>40541.124999999898</v>
      </c>
      <c r="I47" s="4">
        <f t="shared" si="10"/>
        <v>40542.124999999898</v>
      </c>
      <c r="J47" s="4">
        <f t="shared" si="7"/>
        <v>40543.124999999898</v>
      </c>
      <c r="K47" s="4">
        <f t="shared" si="8"/>
        <v>40544.124999999898</v>
      </c>
      <c r="L47" s="4">
        <f t="shared" si="9"/>
        <v>40545.124999999898</v>
      </c>
      <c r="M47" s="6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35">
      <c r="H48" s="4">
        <f t="shared" si="5"/>
        <v>40541.166666666562</v>
      </c>
      <c r="I48" s="4">
        <f t="shared" si="10"/>
        <v>40542.166666666562</v>
      </c>
      <c r="J48" s="4">
        <f t="shared" si="7"/>
        <v>40543.166666666562</v>
      </c>
      <c r="K48" s="4">
        <f t="shared" si="8"/>
        <v>40544.166666666562</v>
      </c>
      <c r="L48" s="4">
        <f t="shared" si="9"/>
        <v>40545.166666666562</v>
      </c>
      <c r="M48" s="6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8:34" x14ac:dyDescent="0.35">
      <c r="H49" s="4">
        <f t="shared" si="5"/>
        <v>40541.208333333227</v>
      </c>
      <c r="I49" s="4">
        <f t="shared" si="10"/>
        <v>40542.208333333227</v>
      </c>
      <c r="J49" s="4">
        <f t="shared" si="7"/>
        <v>40543.208333333227</v>
      </c>
      <c r="K49" s="4">
        <f t="shared" si="8"/>
        <v>40544.208333333227</v>
      </c>
      <c r="L49" s="4">
        <f t="shared" si="9"/>
        <v>40545.208333333227</v>
      </c>
      <c r="M49" s="6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8:34" x14ac:dyDescent="0.35">
      <c r="H50" s="4">
        <f t="shared" si="5"/>
        <v>40541.249999999891</v>
      </c>
      <c r="I50" s="4">
        <f t="shared" si="10"/>
        <v>40542.249999999891</v>
      </c>
      <c r="J50" s="4">
        <f t="shared" si="7"/>
        <v>40543.249999999891</v>
      </c>
      <c r="K50" s="4">
        <f t="shared" si="8"/>
        <v>40544.249999999891</v>
      </c>
      <c r="L50" s="4">
        <f t="shared" si="9"/>
        <v>40545.249999999891</v>
      </c>
      <c r="M50" s="6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8:34" x14ac:dyDescent="0.35">
      <c r="H51" s="4">
        <f t="shared" si="5"/>
        <v>40541.291666666555</v>
      </c>
      <c r="I51" s="4">
        <f t="shared" si="10"/>
        <v>40542.291666666555</v>
      </c>
      <c r="J51" s="4">
        <f t="shared" si="7"/>
        <v>40543.291666666555</v>
      </c>
      <c r="K51" s="4">
        <f t="shared" si="8"/>
        <v>40544.291666666555</v>
      </c>
      <c r="L51" s="4">
        <f t="shared" si="9"/>
        <v>40545.291666666555</v>
      </c>
      <c r="M51" s="6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8:34" x14ac:dyDescent="0.35">
      <c r="H52" s="4"/>
      <c r="I52" s="4"/>
      <c r="J52" s="4"/>
      <c r="K52" s="4"/>
      <c r="L52" s="4">
        <f t="shared" ref="L52:L61" si="11">L51+TIME(0,$C$3,0)</f>
        <v>40545.333333333219</v>
      </c>
      <c r="M52" s="6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8:34" x14ac:dyDescent="0.35">
      <c r="H53" s="4"/>
      <c r="I53" s="4"/>
      <c r="J53" s="4"/>
      <c r="K53" s="4"/>
      <c r="L53" s="4">
        <f t="shared" si="11"/>
        <v>40545.374999999884</v>
      </c>
      <c r="M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8:34" x14ac:dyDescent="0.35">
      <c r="H54" s="4"/>
      <c r="I54" s="4"/>
      <c r="J54" s="4"/>
      <c r="K54" s="4"/>
      <c r="L54" s="4">
        <f t="shared" si="11"/>
        <v>40545.416666666548</v>
      </c>
      <c r="M54" s="6"/>
      <c r="P54" s="1"/>
      <c r="Q54" s="1"/>
      <c r="R54" s="1"/>
      <c r="S54" s="1"/>
      <c r="T54" s="1"/>
      <c r="U54" s="1"/>
      <c r="V54" s="1"/>
    </row>
    <row r="55" spans="8:34" x14ac:dyDescent="0.35">
      <c r="H55" s="4"/>
      <c r="I55" s="4"/>
      <c r="J55" s="4"/>
      <c r="K55" s="4"/>
      <c r="L55" s="4">
        <f t="shared" si="11"/>
        <v>40545.458333333212</v>
      </c>
      <c r="M55" s="6"/>
      <c r="P55" s="1"/>
      <c r="Q55" s="1"/>
      <c r="R55" s="1"/>
      <c r="S55" s="1"/>
      <c r="T55" s="1"/>
      <c r="U55" s="1"/>
      <c r="V55" s="1"/>
    </row>
    <row r="56" spans="8:34" x14ac:dyDescent="0.35">
      <c r="H56" s="4"/>
      <c r="I56" s="4"/>
      <c r="J56" s="4"/>
      <c r="K56" s="4"/>
      <c r="L56" s="4">
        <f t="shared" si="11"/>
        <v>40545.499999999876</v>
      </c>
      <c r="M56" s="6"/>
      <c r="P56" s="1"/>
      <c r="Q56" s="1"/>
      <c r="R56" s="1"/>
      <c r="S56" s="1"/>
      <c r="T56" s="1"/>
      <c r="U56" s="1"/>
      <c r="V56" s="1"/>
    </row>
    <row r="57" spans="8:34" x14ac:dyDescent="0.35">
      <c r="H57" s="4"/>
      <c r="I57" s="4"/>
      <c r="J57" s="4"/>
      <c r="K57" s="4"/>
      <c r="L57" s="4">
        <f t="shared" si="11"/>
        <v>40545.541666666541</v>
      </c>
      <c r="M57" s="6"/>
      <c r="P57" s="1"/>
      <c r="Q57" s="1"/>
      <c r="R57" s="1"/>
      <c r="S57" s="1"/>
      <c r="T57" s="1"/>
      <c r="U57" s="1"/>
      <c r="V57" s="1"/>
    </row>
    <row r="58" spans="8:34" x14ac:dyDescent="0.35">
      <c r="H58" s="4"/>
      <c r="I58" s="4"/>
      <c r="J58" s="4"/>
      <c r="K58" s="4"/>
      <c r="L58" s="4">
        <f t="shared" si="11"/>
        <v>40545.583333333205</v>
      </c>
      <c r="M58" s="6"/>
      <c r="P58" s="1"/>
      <c r="Q58" s="1"/>
      <c r="R58" s="1"/>
      <c r="S58" s="1"/>
      <c r="T58" s="1"/>
      <c r="U58" s="1"/>
      <c r="V58" s="1"/>
    </row>
    <row r="59" spans="8:34" x14ac:dyDescent="0.35">
      <c r="H59" s="4"/>
      <c r="I59" s="4"/>
      <c r="J59" s="4"/>
      <c r="K59" s="4"/>
      <c r="L59" s="4">
        <f t="shared" si="11"/>
        <v>40545.624999999869</v>
      </c>
      <c r="M59" s="6"/>
      <c r="P59" s="1"/>
      <c r="Q59" s="1"/>
      <c r="R59" s="1"/>
      <c r="S59" s="1"/>
      <c r="T59" s="1"/>
      <c r="U59" s="1"/>
      <c r="V59" s="1"/>
    </row>
    <row r="60" spans="8:34" x14ac:dyDescent="0.35">
      <c r="H60" s="4"/>
      <c r="I60" s="4"/>
      <c r="J60" s="4"/>
      <c r="K60" s="4"/>
      <c r="L60" s="4">
        <f t="shared" si="11"/>
        <v>40545.666666666533</v>
      </c>
      <c r="M60" s="6"/>
      <c r="P60" s="1"/>
      <c r="Q60" s="1"/>
      <c r="R60" s="1"/>
      <c r="S60" s="1"/>
      <c r="T60" s="1"/>
      <c r="U60" s="1"/>
      <c r="V60" s="1"/>
    </row>
    <row r="61" spans="8:34" x14ac:dyDescent="0.35">
      <c r="H61" s="4"/>
      <c r="I61" s="4"/>
      <c r="J61" s="4"/>
      <c r="K61" s="4"/>
      <c r="L61" s="4">
        <f t="shared" si="11"/>
        <v>40545.708333333198</v>
      </c>
      <c r="M61" s="6"/>
      <c r="P61" s="1"/>
      <c r="Q61" s="1"/>
      <c r="R61" s="1"/>
      <c r="S61" s="1"/>
      <c r="T61" s="1"/>
      <c r="U61" s="1"/>
      <c r="V61" s="1"/>
    </row>
    <row r="62" spans="8:34" x14ac:dyDescent="0.35">
      <c r="H62" s="4"/>
      <c r="I62" s="4"/>
      <c r="J62" s="4"/>
      <c r="K62" s="4"/>
      <c r="L62" s="4"/>
      <c r="M62" s="6"/>
      <c r="P62" s="1"/>
      <c r="Q62" s="1"/>
      <c r="R62" s="1"/>
      <c r="S62" s="1"/>
      <c r="T62" s="1"/>
      <c r="U62" s="1"/>
      <c r="V62" s="1"/>
    </row>
    <row r="63" spans="8:34" x14ac:dyDescent="0.35">
      <c r="H63" s="4"/>
      <c r="I63" s="4"/>
      <c r="J63" s="4"/>
      <c r="K63" s="4"/>
      <c r="L63" s="4"/>
      <c r="M63" s="6"/>
      <c r="N63" s="1"/>
      <c r="O63" s="1"/>
      <c r="P63" s="1"/>
      <c r="Q63" s="1"/>
      <c r="R63" s="1"/>
      <c r="S63" s="1"/>
      <c r="T63" s="1"/>
      <c r="U63" s="1"/>
      <c r="V63" s="1"/>
    </row>
    <row r="64" spans="8:34" x14ac:dyDescent="0.35">
      <c r="H64" s="4"/>
      <c r="I64" s="4"/>
      <c r="J64" s="4"/>
      <c r="K64" s="4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8:22" x14ac:dyDescent="0.35">
      <c r="H65" s="4"/>
      <c r="I65" s="4"/>
      <c r="J65" s="4"/>
      <c r="K65" s="4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8:22" x14ac:dyDescent="0.35">
      <c r="H66" s="4"/>
      <c r="I66" s="4"/>
      <c r="J66" s="4"/>
      <c r="K66" s="4"/>
      <c r="L66" s="4"/>
    </row>
    <row r="67" spans="8:22" x14ac:dyDescent="0.35">
      <c r="H67" s="4"/>
      <c r="I67" s="4"/>
      <c r="J67" s="4"/>
      <c r="K67" s="4"/>
      <c r="L67" s="4"/>
    </row>
    <row r="68" spans="8:22" x14ac:dyDescent="0.35">
      <c r="H68" s="4"/>
      <c r="I68" s="4"/>
      <c r="J68" s="4"/>
      <c r="K68" s="4"/>
      <c r="L68" s="4"/>
    </row>
    <row r="69" spans="8:22" x14ac:dyDescent="0.35">
      <c r="H69" s="4"/>
      <c r="I69" s="4"/>
      <c r="J69" s="4"/>
      <c r="K69" s="4"/>
      <c r="L69" s="4"/>
    </row>
    <row r="70" spans="8:22" x14ac:dyDescent="0.35">
      <c r="H70" s="4"/>
      <c r="I70" s="4"/>
      <c r="J70" s="4"/>
      <c r="K70" s="4"/>
      <c r="L70" s="4"/>
    </row>
    <row r="71" spans="8:22" x14ac:dyDescent="0.35">
      <c r="H71" s="4"/>
      <c r="I71" s="4"/>
      <c r="J71" s="4"/>
      <c r="K71" s="4"/>
      <c r="L71" s="4"/>
    </row>
    <row r="72" spans="8:22" x14ac:dyDescent="0.35">
      <c r="H72" s="4"/>
      <c r="I72" s="4"/>
      <c r="J72" s="4"/>
      <c r="K72" s="4"/>
      <c r="L72" s="4"/>
    </row>
    <row r="73" spans="8:22" x14ac:dyDescent="0.35">
      <c r="H73" s="4"/>
      <c r="I73" s="4"/>
      <c r="J73" s="4"/>
      <c r="K73" s="4"/>
      <c r="L73" s="4"/>
    </row>
    <row r="74" spans="8:22" x14ac:dyDescent="0.35">
      <c r="H74" s="4"/>
      <c r="I74" s="4"/>
      <c r="J74" s="4"/>
      <c r="K74" s="4"/>
      <c r="L74" s="4"/>
    </row>
    <row r="75" spans="8:22" x14ac:dyDescent="0.35">
      <c r="H75" s="4"/>
      <c r="I75" s="4"/>
      <c r="J75" s="4"/>
      <c r="K75" s="4"/>
      <c r="L75" s="4"/>
    </row>
    <row r="76" spans="8:22" x14ac:dyDescent="0.35">
      <c r="H76" s="4"/>
      <c r="I76" s="4"/>
      <c r="J76" s="4"/>
      <c r="K76" s="4"/>
      <c r="L76" s="4"/>
    </row>
    <row r="77" spans="8:22" x14ac:dyDescent="0.35">
      <c r="H77" s="4"/>
      <c r="I77" s="4"/>
      <c r="J77" s="4"/>
      <c r="K77" s="4"/>
      <c r="L77" s="4"/>
    </row>
    <row r="78" spans="8:22" x14ac:dyDescent="0.35">
      <c r="H78" s="4"/>
      <c r="I78" s="4"/>
      <c r="J78" s="4"/>
      <c r="K78" s="4"/>
      <c r="L78" s="4"/>
    </row>
    <row r="79" spans="8:22" x14ac:dyDescent="0.35">
      <c r="H79" s="4"/>
      <c r="I79" s="4"/>
      <c r="J79" s="4"/>
      <c r="K79" s="4"/>
      <c r="L79" s="4"/>
    </row>
    <row r="80" spans="8:22" x14ac:dyDescent="0.35">
      <c r="H80" s="4"/>
      <c r="I80" s="4"/>
      <c r="J80" s="4"/>
      <c r="K80" s="4"/>
      <c r="L80" s="4"/>
    </row>
    <row r="81" spans="8:12" x14ac:dyDescent="0.35">
      <c r="H81" s="4"/>
      <c r="I81" s="4"/>
      <c r="J81" s="4"/>
      <c r="K81" s="4"/>
      <c r="L81" s="4"/>
    </row>
    <row r="82" spans="8:12" x14ac:dyDescent="0.35">
      <c r="H82" s="4"/>
      <c r="I82" s="4"/>
      <c r="J82" s="4"/>
      <c r="K82" s="4"/>
      <c r="L82" s="4"/>
    </row>
    <row r="83" spans="8:12" x14ac:dyDescent="0.35">
      <c r="H83" s="4"/>
      <c r="I83" s="4"/>
      <c r="J83" s="4"/>
      <c r="K83" s="4"/>
      <c r="L83" s="4"/>
    </row>
    <row r="84" spans="8:12" x14ac:dyDescent="0.35">
      <c r="H84" s="4"/>
      <c r="I84" s="4"/>
      <c r="J84" s="4"/>
      <c r="K84" s="4"/>
      <c r="L84" s="4"/>
    </row>
    <row r="85" spans="8:12" x14ac:dyDescent="0.35">
      <c r="H85" s="4"/>
      <c r="I85" s="4"/>
      <c r="J85" s="4"/>
      <c r="K85" s="4"/>
      <c r="L85" s="4"/>
    </row>
  </sheetData>
  <mergeCells count="3">
    <mergeCell ref="C22:D22"/>
    <mergeCell ref="C23:D23"/>
    <mergeCell ref="B24:D24"/>
  </mergeCells>
  <conditionalFormatting sqref="F4 F8 F12 F16 F20">
    <cfRule type="cellIs" dxfId="22" priority="1" operator="equal">
      <formula>0</formula>
    </cfRule>
  </conditionalFormatting>
  <dataValidations count="9">
    <dataValidation type="list" allowBlank="1" showInputMessage="1" showErrorMessage="1" sqref="C4" xr:uid="{E55013B7-BBDF-4EBA-A6C1-1535B9737B7C}">
      <formula1>$N$3:$N$8</formula1>
    </dataValidation>
    <dataValidation type="list" allowBlank="1" showInputMessage="1" showErrorMessage="1" sqref="C3" xr:uid="{7189AF00-AB84-491B-AD85-656D51D8F986}">
      <formula1>$M$3:$M$11</formula1>
    </dataValidation>
    <dataValidation type="list" allowBlank="1" showInputMessage="1" showErrorMessage="1" sqref="C5" xr:uid="{34584CCE-2BE9-4E34-86D0-9590B4CB93CE}">
      <formula1>$O$3:$O$21</formula1>
    </dataValidation>
    <dataValidation type="list" allowBlank="1" showErrorMessage="1" prompt="Enter Start Time" sqref="F6:F7" xr:uid="{D09A0388-35D4-4FD2-BD26-B051E61DA3F4}">
      <formula1>$I$3:$I$58</formula1>
    </dataValidation>
    <dataValidation type="list" allowBlank="1" showErrorMessage="1" prompt="Enter Start Time" sqref="F2:F3" xr:uid="{A9BB7A78-93C6-4A4B-B3A7-DB5824995ED4}">
      <formula1>$H$3:$H$58</formula1>
    </dataValidation>
    <dataValidation type="list" allowBlank="1" showErrorMessage="1" prompt="Enter Start Time" sqref="F14:F15" xr:uid="{6DFE7236-694F-4A83-9BEE-28EB51110651}">
      <formula1>$K$3:$K$58</formula1>
    </dataValidation>
    <dataValidation type="list" allowBlank="1" showErrorMessage="1" prompt="Enter Start Time" sqref="F18:F19" xr:uid="{5545CC88-F9EE-4072-BFC2-AE3276711781}">
      <formula1>$L$3:$L$58</formula1>
    </dataValidation>
    <dataValidation type="list" allowBlank="1" showErrorMessage="1" prompt="Enter Start Time" sqref="F10:F11" xr:uid="{1D7C662B-7804-4E9D-8B89-F9E3EBA3007D}">
      <formula1>$J$3:$J$58</formula1>
    </dataValidation>
    <dataValidation type="list" allowBlank="1" showInputMessage="1" showErrorMessage="1" sqref="C2" xr:uid="{31B937E0-5B99-43D9-814A-8284F77FCCFC}">
      <formula1>$P$2:$P$3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304C-AAD5-4755-8C22-9F1AE4846AA2}">
  <sheetPr codeName="Sheet5"/>
  <dimension ref="A1:AP85"/>
  <sheetViews>
    <sheetView zoomScale="85" zoomScaleNormal="85" workbookViewId="0">
      <selection activeCell="C12" sqref="C12"/>
    </sheetView>
  </sheetViews>
  <sheetFormatPr defaultRowHeight="14.5" x14ac:dyDescent="0.35"/>
  <cols>
    <col min="1" max="1" width="3.08984375" customWidth="1"/>
    <col min="2" max="2" width="33.90625" customWidth="1"/>
    <col min="3" max="3" width="11.90625" customWidth="1"/>
    <col min="4" max="4" width="3.453125" customWidth="1"/>
    <col min="5" max="5" width="23.54296875" customWidth="1"/>
    <col min="6" max="6" width="15.81640625" customWidth="1"/>
    <col min="7" max="7" width="3.7265625" customWidth="1"/>
    <col min="8" max="8" width="24.08984375" customWidth="1"/>
    <col min="9" max="9" width="15.81640625" customWidth="1"/>
    <col min="10" max="10" width="3.36328125" customWidth="1"/>
    <col min="11" max="11" width="23.26953125" customWidth="1"/>
    <col min="12" max="13" width="15.81640625" customWidth="1"/>
    <col min="14" max="14" width="15.81640625" hidden="1" customWidth="1"/>
    <col min="15" max="15" width="14.36328125" hidden="1" customWidth="1"/>
    <col min="16" max="16" width="14.6328125" hidden="1" customWidth="1"/>
    <col min="17" max="17" width="14" hidden="1" customWidth="1"/>
    <col min="18" max="18" width="13.453125" hidden="1" customWidth="1"/>
    <col min="19" max="19" width="14" hidden="1" customWidth="1"/>
    <col min="20" max="20" width="13.54296875" hidden="1" customWidth="1"/>
    <col min="21" max="21" width="13.1796875" hidden="1" customWidth="1"/>
    <col min="22" max="22" width="11.26953125" hidden="1" customWidth="1"/>
    <col min="23" max="23" width="11.08984375" hidden="1" customWidth="1"/>
    <col min="24" max="24" width="8.7265625" hidden="1" customWidth="1"/>
  </cols>
  <sheetData>
    <row r="1" spans="1:42" ht="1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27</v>
      </c>
      <c r="Q1" s="2" t="s">
        <v>28</v>
      </c>
      <c r="R1" s="2" t="s">
        <v>25</v>
      </c>
      <c r="S1" s="2" t="s">
        <v>26</v>
      </c>
      <c r="T1" s="2" t="s">
        <v>11</v>
      </c>
      <c r="U1" s="3" t="s">
        <v>2</v>
      </c>
      <c r="V1" s="2" t="s">
        <v>16</v>
      </c>
      <c r="W1" s="3" t="s">
        <v>15</v>
      </c>
      <c r="X1" s="3" t="s">
        <v>39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5" customHeight="1" x14ac:dyDescent="0.35">
      <c r="A2" s="1"/>
      <c r="B2" s="24" t="s">
        <v>38</v>
      </c>
      <c r="C2" s="16" t="s">
        <v>40</v>
      </c>
      <c r="D2" s="1"/>
      <c r="E2" s="80" t="str">
        <f>IF(B7="","",B7)</f>
        <v>Gerringong</v>
      </c>
      <c r="F2" s="81"/>
      <c r="G2" s="54"/>
      <c r="H2" s="80" t="str">
        <f>IF(B8="","",B8)</f>
        <v>North Nowra</v>
      </c>
      <c r="I2" s="81"/>
      <c r="J2" s="54"/>
      <c r="K2" s="80" t="str">
        <f>IF(B9="","",B9)</f>
        <v>Dgen</v>
      </c>
      <c r="L2" s="81"/>
      <c r="M2" s="54"/>
      <c r="N2" s="54"/>
      <c r="O2" s="1"/>
      <c r="P2" s="46"/>
      <c r="Q2" s="46"/>
      <c r="R2" s="46"/>
      <c r="S2" s="46"/>
      <c r="T2" s="46"/>
      <c r="V2" s="5"/>
      <c r="X2" s="5" t="s">
        <v>40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5" customHeight="1" x14ac:dyDescent="0.35">
      <c r="A3" s="1"/>
      <c r="B3" s="30" t="s">
        <v>6</v>
      </c>
      <c r="C3" s="17">
        <v>60</v>
      </c>
      <c r="D3" s="1"/>
      <c r="E3" s="19" t="s">
        <v>17</v>
      </c>
      <c r="F3" s="7">
        <v>40539.333333333336</v>
      </c>
      <c r="G3" s="55"/>
      <c r="H3" s="19" t="s">
        <v>17</v>
      </c>
      <c r="I3" s="7">
        <v>40539.333333333336</v>
      </c>
      <c r="J3" s="55"/>
      <c r="K3" s="19" t="s">
        <v>17</v>
      </c>
      <c r="L3" s="7">
        <v>40539.333333333336</v>
      </c>
      <c r="M3" s="55"/>
      <c r="N3" s="55"/>
      <c r="O3" s="1"/>
      <c r="P3" s="4">
        <v>40539.333333333336</v>
      </c>
      <c r="Q3" s="4">
        <v>40540.333333333336</v>
      </c>
      <c r="R3" s="4">
        <v>40541.333333333336</v>
      </c>
      <c r="S3" s="4">
        <v>40542.333333333336</v>
      </c>
      <c r="T3" s="4">
        <v>40543.333333333336</v>
      </c>
      <c r="U3" s="5">
        <v>15</v>
      </c>
      <c r="V3" s="5">
        <v>1</v>
      </c>
      <c r="W3" s="5">
        <v>1</v>
      </c>
      <c r="X3" s="5" t="s">
        <v>41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4.5" customHeight="1" x14ac:dyDescent="0.35">
      <c r="A4" s="1"/>
      <c r="B4" s="25" t="str">
        <f>IF(C2="Individuals","No. matches per player for the week","No. Matches per Team for the week")</f>
        <v>No. matches per player for the week</v>
      </c>
      <c r="C4" s="33">
        <v>1</v>
      </c>
      <c r="D4" s="1"/>
      <c r="E4" s="20" t="s">
        <v>18</v>
      </c>
      <c r="F4" s="8">
        <v>40539.375</v>
      </c>
      <c r="G4" s="55"/>
      <c r="H4" s="20" t="s">
        <v>18</v>
      </c>
      <c r="I4" s="8">
        <v>40539.375</v>
      </c>
      <c r="J4" s="55"/>
      <c r="K4" s="20" t="s">
        <v>18</v>
      </c>
      <c r="L4" s="8">
        <v>40539.375</v>
      </c>
      <c r="M4" s="55"/>
      <c r="N4" s="55"/>
      <c r="O4" s="1"/>
      <c r="P4" s="4">
        <f t="shared" ref="P4:P35" si="0">P3+TIME(0,$C$3,0)</f>
        <v>40539.375</v>
      </c>
      <c r="Q4" s="4">
        <f t="shared" ref="Q4:Q35" si="1">Q3+TIME(0,$C$3,0)</f>
        <v>40540.375</v>
      </c>
      <c r="R4" s="4">
        <f t="shared" ref="R4:R35" si="2">R3+TIME(0,$C$3,0)</f>
        <v>40541.375</v>
      </c>
      <c r="S4" s="4">
        <f t="shared" ref="S4:S35" si="3">S3+TIME(0,$C$3,0)</f>
        <v>40542.375</v>
      </c>
      <c r="T4" s="4">
        <f t="shared" ref="T4:T35" si="4">T3+TIME(0,$C$3,0)</f>
        <v>40543.375</v>
      </c>
      <c r="U4" s="5">
        <v>20</v>
      </c>
      <c r="V4" s="5">
        <v>2</v>
      </c>
      <c r="W4" s="5">
        <v>2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5" customHeight="1" x14ac:dyDescent="0.35">
      <c r="A5" s="1"/>
      <c r="B5" s="64"/>
      <c r="C5" s="65"/>
      <c r="D5" s="1"/>
      <c r="E5" s="21" t="s">
        <v>12</v>
      </c>
      <c r="F5" s="14">
        <f>IF(F4-F3&lt;0,"",IF(F4+F3=0,0,IF(F3="",0,((F4-F3)*1440)/60)))</f>
        <v>0.99999999994179234</v>
      </c>
      <c r="G5" s="56"/>
      <c r="H5" s="21" t="s">
        <v>12</v>
      </c>
      <c r="I5" s="14">
        <f>IF(I4-I3&lt;0,"",IF(I4+I3=0,0,IF(I3="",0,((I4-I3)*1440)/60)))</f>
        <v>0.99999999994179234</v>
      </c>
      <c r="J5" s="56"/>
      <c r="K5" s="21" t="s">
        <v>12</v>
      </c>
      <c r="L5" s="14">
        <f>IF(L4-L3&lt;0,"",IF(L4+L3=0,0,IF(L3="",0,((L4-L3)*1440)/60)))</f>
        <v>0.99999999994179234</v>
      </c>
      <c r="M5" s="56"/>
      <c r="N5" s="56"/>
      <c r="O5" s="1"/>
      <c r="P5" s="4">
        <f t="shared" si="0"/>
        <v>40539.416666666664</v>
      </c>
      <c r="Q5" s="4">
        <f t="shared" si="1"/>
        <v>40540.416666666664</v>
      </c>
      <c r="R5" s="4">
        <f t="shared" si="2"/>
        <v>40541.416666666664</v>
      </c>
      <c r="S5" s="4">
        <f t="shared" si="3"/>
        <v>40542.416666666664</v>
      </c>
      <c r="T5" s="4">
        <f t="shared" si="4"/>
        <v>40543.416666666664</v>
      </c>
      <c r="U5" s="5">
        <v>25</v>
      </c>
      <c r="V5" s="5">
        <v>3</v>
      </c>
      <c r="W5" s="5">
        <v>3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4.5" customHeight="1" x14ac:dyDescent="0.35">
      <c r="A6" s="1"/>
      <c r="B6" s="34" t="s">
        <v>30</v>
      </c>
      <c r="C6" s="36" t="s">
        <v>15</v>
      </c>
      <c r="D6" s="1"/>
      <c r="E6" s="22"/>
      <c r="F6" s="1"/>
      <c r="G6" s="1"/>
      <c r="H6" s="22"/>
      <c r="I6" s="1"/>
      <c r="J6" s="1"/>
      <c r="K6" s="22"/>
      <c r="L6" s="1"/>
      <c r="M6" s="1"/>
      <c r="N6" s="1"/>
      <c r="O6" s="1"/>
      <c r="P6" s="4">
        <f t="shared" si="0"/>
        <v>40539.458333333328</v>
      </c>
      <c r="Q6" s="4">
        <f t="shared" si="1"/>
        <v>40540.458333333328</v>
      </c>
      <c r="R6" s="4">
        <f t="shared" si="2"/>
        <v>40541.458333333328</v>
      </c>
      <c r="S6" s="4">
        <f t="shared" si="3"/>
        <v>40542.458333333328</v>
      </c>
      <c r="T6" s="4">
        <f t="shared" si="4"/>
        <v>40543.458333333328</v>
      </c>
      <c r="U6" s="5">
        <v>30</v>
      </c>
      <c r="V6" s="5">
        <v>4</v>
      </c>
      <c r="W6" s="5">
        <v>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4.5" customHeight="1" x14ac:dyDescent="0.35">
      <c r="A7" s="1"/>
      <c r="B7" s="57" t="s">
        <v>33</v>
      </c>
      <c r="C7" s="60">
        <v>1</v>
      </c>
      <c r="D7" s="1"/>
      <c r="E7" s="19" t="s">
        <v>19</v>
      </c>
      <c r="F7" s="7">
        <v>40540.333333333336</v>
      </c>
      <c r="G7" s="55"/>
      <c r="H7" s="19" t="s">
        <v>19</v>
      </c>
      <c r="I7" s="7">
        <v>40540.333333333336</v>
      </c>
      <c r="J7" s="55"/>
      <c r="K7" s="19" t="s">
        <v>19</v>
      </c>
      <c r="L7" s="7">
        <v>40540.333333333336</v>
      </c>
      <c r="M7" s="55"/>
      <c r="N7" s="55"/>
      <c r="O7" s="1"/>
      <c r="P7" s="4">
        <f t="shared" si="0"/>
        <v>40539.499999999993</v>
      </c>
      <c r="Q7" s="4">
        <f t="shared" si="1"/>
        <v>40540.499999999993</v>
      </c>
      <c r="R7" s="4">
        <f t="shared" si="2"/>
        <v>40541.499999999993</v>
      </c>
      <c r="S7" s="4">
        <f t="shared" si="3"/>
        <v>40542.499999999993</v>
      </c>
      <c r="T7" s="4">
        <f t="shared" si="4"/>
        <v>40543.499999999993</v>
      </c>
      <c r="U7" s="5">
        <v>40</v>
      </c>
      <c r="V7" s="5">
        <v>5</v>
      </c>
      <c r="W7" s="5">
        <v>5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4.5" customHeight="1" x14ac:dyDescent="0.35">
      <c r="A8" s="1"/>
      <c r="B8" s="58" t="s">
        <v>34</v>
      </c>
      <c r="C8" s="61">
        <v>1</v>
      </c>
      <c r="D8" s="1"/>
      <c r="E8" s="20" t="s">
        <v>20</v>
      </c>
      <c r="F8" s="8">
        <v>40540.375</v>
      </c>
      <c r="G8" s="55"/>
      <c r="H8" s="20" t="s">
        <v>20</v>
      </c>
      <c r="I8" s="8">
        <v>40540.375</v>
      </c>
      <c r="J8" s="55"/>
      <c r="K8" s="20" t="s">
        <v>20</v>
      </c>
      <c r="L8" s="8">
        <v>40540.375</v>
      </c>
      <c r="M8" s="55"/>
      <c r="N8" s="55"/>
      <c r="O8" s="1"/>
      <c r="P8" s="4">
        <f t="shared" si="0"/>
        <v>40539.541666666657</v>
      </c>
      <c r="Q8" s="4">
        <f t="shared" si="1"/>
        <v>40540.541666666657</v>
      </c>
      <c r="R8" s="4">
        <f t="shared" si="2"/>
        <v>40541.541666666657</v>
      </c>
      <c r="S8" s="4">
        <f t="shared" si="3"/>
        <v>40542.541666666657</v>
      </c>
      <c r="T8" s="4">
        <f t="shared" si="4"/>
        <v>40543.541666666657</v>
      </c>
      <c r="U8" s="5">
        <v>45</v>
      </c>
      <c r="V8" s="5"/>
      <c r="W8" s="5">
        <v>6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4.5" customHeight="1" x14ac:dyDescent="0.35">
      <c r="A9" s="1"/>
      <c r="B9" s="59" t="s">
        <v>35</v>
      </c>
      <c r="C9" s="32">
        <v>1</v>
      </c>
      <c r="D9" s="1"/>
      <c r="E9" s="21" t="s">
        <v>12</v>
      </c>
      <c r="F9" s="14">
        <f>IF(F8-F7&lt;0,"",IF(F8+F7=0,0,IF(F7="",0,((F8-F7)*1440)/60)))</f>
        <v>0.99999999994179234</v>
      </c>
      <c r="G9" s="56"/>
      <c r="H9" s="21" t="s">
        <v>12</v>
      </c>
      <c r="I9" s="14">
        <f>IF(I8-I7&lt;0,"",IF(I8+I7=0,0,IF(I7="",0,((I8-I7)*1440)/60)))</f>
        <v>0.99999999994179234</v>
      </c>
      <c r="J9" s="56"/>
      <c r="K9" s="21" t="s">
        <v>12</v>
      </c>
      <c r="L9" s="14">
        <f>IF(L8-L7&lt;0,"",IF(L8+L7=0,0,IF(L7="",0,((L8-L7)*1440)/60)))</f>
        <v>0.99999999994179234</v>
      </c>
      <c r="M9" s="56"/>
      <c r="N9" s="56"/>
      <c r="O9" s="1"/>
      <c r="P9" s="4">
        <f t="shared" si="0"/>
        <v>40539.583333333321</v>
      </c>
      <c r="Q9" s="4">
        <f t="shared" si="1"/>
        <v>40540.583333333321</v>
      </c>
      <c r="R9" s="4">
        <f t="shared" si="2"/>
        <v>40541.583333333321</v>
      </c>
      <c r="S9" s="4">
        <f t="shared" si="3"/>
        <v>40542.583333333321</v>
      </c>
      <c r="T9" s="4">
        <f t="shared" si="4"/>
        <v>40543.583333333321</v>
      </c>
      <c r="U9" s="5">
        <v>60</v>
      </c>
      <c r="V9" s="5"/>
      <c r="W9" s="5">
        <v>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4.5" customHeight="1" x14ac:dyDescent="0.35">
      <c r="A10" s="1"/>
      <c r="B10" s="1"/>
      <c r="C10" s="1"/>
      <c r="D10" s="1"/>
      <c r="E10" s="22"/>
      <c r="F10" s="1"/>
      <c r="G10" s="1"/>
      <c r="H10" s="22"/>
      <c r="I10" s="1"/>
      <c r="J10" s="1"/>
      <c r="K10" s="22"/>
      <c r="L10" s="1"/>
      <c r="M10" s="1"/>
      <c r="N10" s="1"/>
      <c r="O10" s="1"/>
      <c r="P10" s="4">
        <f t="shared" si="0"/>
        <v>40539.624999999985</v>
      </c>
      <c r="Q10" s="4">
        <f t="shared" si="1"/>
        <v>40540.624999999985</v>
      </c>
      <c r="R10" s="4">
        <f t="shared" si="2"/>
        <v>40541.624999999985</v>
      </c>
      <c r="S10" s="4">
        <f t="shared" si="3"/>
        <v>40542.624999999985</v>
      </c>
      <c r="T10" s="4">
        <f t="shared" si="4"/>
        <v>40543.624999999985</v>
      </c>
      <c r="U10" s="5">
        <v>100</v>
      </c>
      <c r="V10" s="5"/>
      <c r="W10" s="5">
        <v>8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4.5" customHeight="1" x14ac:dyDescent="0.35">
      <c r="A11" s="1"/>
      <c r="B11" s="9" t="str">
        <f>"No. matches per hour per court"</f>
        <v>No. matches per hour per court</v>
      </c>
      <c r="C11" s="10">
        <f>IF(C4="","",IF(C3="","",60/C3))</f>
        <v>1</v>
      </c>
      <c r="D11" s="1"/>
      <c r="E11" s="24" t="s">
        <v>21</v>
      </c>
      <c r="F11" s="7">
        <v>40541.333333333336</v>
      </c>
      <c r="G11" s="55"/>
      <c r="H11" s="24" t="s">
        <v>21</v>
      </c>
      <c r="I11" s="7">
        <v>40541.333333333336</v>
      </c>
      <c r="J11" s="55"/>
      <c r="K11" s="24" t="s">
        <v>21</v>
      </c>
      <c r="L11" s="7">
        <v>40541.333333333336</v>
      </c>
      <c r="M11" s="55"/>
      <c r="N11" s="55"/>
      <c r="O11" s="1"/>
      <c r="P11" s="4">
        <f t="shared" si="0"/>
        <v>40539.66666666665</v>
      </c>
      <c r="Q11" s="4">
        <f t="shared" si="1"/>
        <v>40540.66666666665</v>
      </c>
      <c r="R11" s="4">
        <f t="shared" si="2"/>
        <v>40541.66666666665</v>
      </c>
      <c r="S11" s="4">
        <f t="shared" si="3"/>
        <v>40542.66666666665</v>
      </c>
      <c r="T11" s="4">
        <f t="shared" si="4"/>
        <v>40543.66666666665</v>
      </c>
      <c r="U11" s="5">
        <v>120</v>
      </c>
      <c r="V11" s="5"/>
      <c r="W11" s="5">
        <v>9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4.5" customHeight="1" x14ac:dyDescent="0.35">
      <c r="A12" s="1"/>
      <c r="B12" s="15" t="str">
        <f>IF(F5+I5+L5=0,"","Max. no. matches possible Mon")</f>
        <v>Max. no. matches possible Mon</v>
      </c>
      <c r="C12" s="11">
        <f>IF(SUM($C$7:$C$9)=0,"",IF(F24+I24+L24=0,"",(F24+I24+L24)*$C$11))</f>
        <v>2.999999999825377</v>
      </c>
      <c r="D12" s="1"/>
      <c r="E12" s="25" t="s">
        <v>22</v>
      </c>
      <c r="F12" s="8">
        <v>40541.375000000007</v>
      </c>
      <c r="G12" s="55"/>
      <c r="H12" s="25" t="s">
        <v>22</v>
      </c>
      <c r="I12" s="8">
        <v>40541.375000000007</v>
      </c>
      <c r="J12" s="55"/>
      <c r="K12" s="25" t="s">
        <v>22</v>
      </c>
      <c r="L12" s="8">
        <v>40541.375000000007</v>
      </c>
      <c r="M12" s="55"/>
      <c r="N12" s="55"/>
      <c r="O12" s="1"/>
      <c r="P12" s="4">
        <f t="shared" si="0"/>
        <v>40539.708333333314</v>
      </c>
      <c r="Q12" s="4">
        <f t="shared" si="1"/>
        <v>40540.708333333314</v>
      </c>
      <c r="R12" s="4">
        <f t="shared" si="2"/>
        <v>40541.708333333314</v>
      </c>
      <c r="S12" s="4">
        <f t="shared" si="3"/>
        <v>40542.708333333314</v>
      </c>
      <c r="T12" s="4">
        <f t="shared" si="4"/>
        <v>40543.708333333314</v>
      </c>
      <c r="U12" s="5"/>
      <c r="V12" s="5"/>
      <c r="W12" s="5">
        <v>10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4.5" customHeight="1" x14ac:dyDescent="0.35">
      <c r="A13" s="1"/>
      <c r="B13" s="15" t="str">
        <f>IF(F9+I9+L9=0,"","Max. no. matches possible Tues")</f>
        <v>Max. no. matches possible Tues</v>
      </c>
      <c r="C13" s="11">
        <f>IF(SUM($C$7:$C$9)=0,"",IF(F25+I25+L25=0,"",(F25+I25+L25)*$C$11))</f>
        <v>2.999999999825377</v>
      </c>
      <c r="D13" s="1"/>
      <c r="E13" s="21" t="s">
        <v>12</v>
      </c>
      <c r="F13" s="14">
        <f>IF(F12-F11&lt;0,"",IF(F12+F11=0,0,IF(F11="",0,((F12-F11)*1440)/60)))</f>
        <v>1.0000000001164153</v>
      </c>
      <c r="G13" s="56"/>
      <c r="H13" s="21" t="s">
        <v>12</v>
      </c>
      <c r="I13" s="14">
        <f>IF(I12-I11&lt;0,"",IF(I12+I11=0,0,IF(I11="",0,((I12-I11)*1440)/60)))</f>
        <v>1.0000000001164153</v>
      </c>
      <c r="J13" s="56"/>
      <c r="K13" s="21" t="s">
        <v>12</v>
      </c>
      <c r="L13" s="14">
        <f>IF(L12-L11&lt;0,"",IF(L12+L11=0,0,IF(L11="",0,((L12-L11)*1440)/60)))</f>
        <v>1.0000000001164153</v>
      </c>
      <c r="M13" s="56"/>
      <c r="N13" s="56"/>
      <c r="O13" s="1"/>
      <c r="P13" s="4">
        <f t="shared" si="0"/>
        <v>40539.749999999978</v>
      </c>
      <c r="Q13" s="4">
        <f t="shared" si="1"/>
        <v>40540.749999999978</v>
      </c>
      <c r="R13" s="4">
        <f t="shared" si="2"/>
        <v>40541.749999999978</v>
      </c>
      <c r="S13" s="4">
        <f t="shared" si="3"/>
        <v>40542.749999999978</v>
      </c>
      <c r="T13" s="4">
        <f t="shared" si="4"/>
        <v>40543.749999999978</v>
      </c>
      <c r="U13" s="5"/>
      <c r="V13" s="5"/>
      <c r="W13" s="5">
        <v>11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4.5" customHeight="1" x14ac:dyDescent="0.35">
      <c r="A14" s="1"/>
      <c r="B14" s="15" t="str">
        <f>IF(F13+I13+L13=0,"","Max. no. matches possible Wed")</f>
        <v>Max. no. matches possible Wed</v>
      </c>
      <c r="C14" s="11">
        <f>IF(SUM($C$7:$C$9)=0,"",IF(F26+I26+L26=0,"",(F26+I26+L26)*$C$11))</f>
        <v>3.000000000349246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">
        <f t="shared" si="0"/>
        <v>40539.791666666642</v>
      </c>
      <c r="Q14" s="4">
        <f t="shared" si="1"/>
        <v>40540.791666666642</v>
      </c>
      <c r="R14" s="4">
        <f t="shared" si="2"/>
        <v>40541.791666666642</v>
      </c>
      <c r="S14" s="4">
        <f t="shared" si="3"/>
        <v>40542.791666666642</v>
      </c>
      <c r="T14" s="4">
        <f t="shared" si="4"/>
        <v>40543.791666666642</v>
      </c>
      <c r="U14" s="5"/>
      <c r="V14" s="5"/>
      <c r="W14" s="5">
        <v>12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4.5" customHeight="1" x14ac:dyDescent="0.35">
      <c r="A15" s="1"/>
      <c r="B15" s="15" t="str">
        <f>IF(F17+I17+L17=0,"","Max. no. matches possible Thurs")</f>
        <v>Max. no. matches possible Thurs</v>
      </c>
      <c r="C15" s="11">
        <f>IF(SUM($C$7:$C$9)=0,"",IF(F27+I27+L27=0,"",(F27+I27+L27)*$C$11))</f>
        <v>3.000000000349246</v>
      </c>
      <c r="D15" s="1"/>
      <c r="E15" s="19" t="s">
        <v>23</v>
      </c>
      <c r="F15" s="7">
        <v>40542.333333333336</v>
      </c>
      <c r="G15" s="55"/>
      <c r="H15" s="19" t="s">
        <v>23</v>
      </c>
      <c r="I15" s="7">
        <v>40542.333333333336</v>
      </c>
      <c r="J15" s="55"/>
      <c r="K15" s="19" t="s">
        <v>23</v>
      </c>
      <c r="L15" s="7">
        <v>40542.333333333336</v>
      </c>
      <c r="M15" s="55"/>
      <c r="N15" s="55"/>
      <c r="O15" s="1"/>
      <c r="P15" s="4">
        <f t="shared" si="0"/>
        <v>40539.833333333307</v>
      </c>
      <c r="Q15" s="4">
        <f t="shared" si="1"/>
        <v>40540.833333333307</v>
      </c>
      <c r="R15" s="4">
        <f t="shared" si="2"/>
        <v>40541.833333333307</v>
      </c>
      <c r="S15" s="4">
        <f t="shared" si="3"/>
        <v>40542.833333333307</v>
      </c>
      <c r="T15" s="4">
        <f t="shared" si="4"/>
        <v>40543.833333333307</v>
      </c>
      <c r="U15" s="5"/>
      <c r="V15" s="5"/>
      <c r="W15" s="5">
        <v>13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4.5" customHeight="1" x14ac:dyDescent="0.35">
      <c r="A16" s="1"/>
      <c r="B16" s="15" t="str">
        <f>IF(F21+I21+L21=0,"","Max. no. matches possible Fri")</f>
        <v>Max. no. matches possible Fri</v>
      </c>
      <c r="C16" s="11">
        <f>IF(SUM($C$7:$C$9)=0,"",IF(F28+I28+L28=0,"",(F28+I28+L28)*$C$11))</f>
        <v>3.000000000349246</v>
      </c>
      <c r="D16" s="1"/>
      <c r="E16" s="20" t="s">
        <v>24</v>
      </c>
      <c r="F16" s="8">
        <v>40542.375000000007</v>
      </c>
      <c r="G16" s="55"/>
      <c r="H16" s="20" t="s">
        <v>24</v>
      </c>
      <c r="I16" s="8">
        <v>40542.375000000007</v>
      </c>
      <c r="J16" s="55"/>
      <c r="K16" s="20" t="s">
        <v>24</v>
      </c>
      <c r="L16" s="8">
        <v>40542.375000000007</v>
      </c>
      <c r="M16" s="55"/>
      <c r="N16" s="55"/>
      <c r="O16" s="1"/>
      <c r="P16" s="4">
        <f t="shared" si="0"/>
        <v>40539.874999999971</v>
      </c>
      <c r="Q16" s="4">
        <f t="shared" si="1"/>
        <v>40540.874999999971</v>
      </c>
      <c r="R16" s="4">
        <f t="shared" si="2"/>
        <v>40541.874999999971</v>
      </c>
      <c r="S16" s="4">
        <f t="shared" si="3"/>
        <v>40542.874999999971</v>
      </c>
      <c r="T16" s="4">
        <f t="shared" si="4"/>
        <v>40543.874999999971</v>
      </c>
      <c r="U16" s="5"/>
      <c r="V16" s="5"/>
      <c r="W16" s="5">
        <v>14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4.5" customHeight="1" x14ac:dyDescent="0.35">
      <c r="A17" s="1"/>
      <c r="B17" s="15" t="str">
        <f>IF(C17="","","Max. no. matches possible for  week")</f>
        <v>Max. no. matches possible for  week</v>
      </c>
      <c r="C17" s="29">
        <f>IF(SUM(C12:C16)=0,"",SUM(C12:C16))</f>
        <v>15.000000000698492</v>
      </c>
      <c r="D17" s="1"/>
      <c r="E17" s="21" t="s">
        <v>12</v>
      </c>
      <c r="F17" s="14">
        <f>IF(F16-F15&lt;0,"",IF(F16+F15=0,0,IF(F15="",0,((F16-F15)*1440)/60)))</f>
        <v>1.0000000001164153</v>
      </c>
      <c r="G17" s="56"/>
      <c r="H17" s="21" t="s">
        <v>12</v>
      </c>
      <c r="I17" s="14">
        <f>IF(I16-I15&lt;0,"",IF(I16+I15=0,0,IF(I15="",0,((I16-I15)*1440)/60)))</f>
        <v>1.0000000001164153</v>
      </c>
      <c r="J17" s="56"/>
      <c r="K17" s="21" t="s">
        <v>12</v>
      </c>
      <c r="L17" s="14">
        <f>IF(L16-L15&lt;0,"",IF(L16+L15=0,0,IF(L15="",0,((L16-L15)*1440)/60)))</f>
        <v>1.0000000001164153</v>
      </c>
      <c r="M17" s="56"/>
      <c r="N17" s="56"/>
      <c r="O17" s="1"/>
      <c r="P17" s="4">
        <f t="shared" si="0"/>
        <v>40539.916666666635</v>
      </c>
      <c r="Q17" s="4">
        <f t="shared" si="1"/>
        <v>40540.916666666635</v>
      </c>
      <c r="R17" s="4">
        <f t="shared" si="2"/>
        <v>40541.916666666635</v>
      </c>
      <c r="S17" s="4">
        <f t="shared" si="3"/>
        <v>40542.916666666635</v>
      </c>
      <c r="T17" s="4">
        <f t="shared" si="4"/>
        <v>40543.916666666635</v>
      </c>
      <c r="U17" s="5"/>
      <c r="V17" s="5"/>
      <c r="W17" s="5">
        <v>15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4.5" customHeight="1" x14ac:dyDescent="0.35">
      <c r="A18" s="1"/>
      <c r="B18" s="9" t="str">
        <f>IF(C2="Individuals","Max. no. Players for the week","Max. no. Teams for the week")</f>
        <v>Max. no. Players for the week</v>
      </c>
      <c r="C18" s="28">
        <f>IF(C17="","",2*C17/C4)</f>
        <v>30.000000001396984</v>
      </c>
      <c r="D18" s="1"/>
      <c r="E18" s="22"/>
      <c r="F18" s="1"/>
      <c r="G18" s="1"/>
      <c r="H18" s="22"/>
      <c r="I18" s="1"/>
      <c r="J18" s="1"/>
      <c r="K18" s="22"/>
      <c r="L18" s="1"/>
      <c r="M18" s="1"/>
      <c r="N18" s="1"/>
      <c r="O18" s="1"/>
      <c r="P18" s="4">
        <f t="shared" si="0"/>
        <v>40539.958333333299</v>
      </c>
      <c r="Q18" s="4">
        <f t="shared" si="1"/>
        <v>40540.958333333299</v>
      </c>
      <c r="R18" s="4">
        <f t="shared" si="2"/>
        <v>40541.958333333299</v>
      </c>
      <c r="S18" s="4">
        <f t="shared" si="3"/>
        <v>40542.958333333299</v>
      </c>
      <c r="T18" s="4">
        <f t="shared" si="4"/>
        <v>40543.958333333299</v>
      </c>
      <c r="U18" s="5"/>
      <c r="V18" s="5"/>
      <c r="W18" s="5">
        <v>16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4.5" customHeight="1" x14ac:dyDescent="0.35">
      <c r="A19" s="1"/>
      <c r="B19" s="1"/>
      <c r="C19" s="1"/>
      <c r="D19" s="1"/>
      <c r="E19" s="19" t="s">
        <v>9</v>
      </c>
      <c r="F19" s="7">
        <v>40543.333333333336</v>
      </c>
      <c r="G19" s="55"/>
      <c r="H19" s="19" t="s">
        <v>9</v>
      </c>
      <c r="I19" s="7">
        <v>40543.333333333336</v>
      </c>
      <c r="J19" s="55"/>
      <c r="K19" s="19" t="s">
        <v>9</v>
      </c>
      <c r="L19" s="7">
        <v>40543.333333333336</v>
      </c>
      <c r="M19" s="55"/>
      <c r="N19" s="55"/>
      <c r="O19" s="1"/>
      <c r="P19" s="4">
        <f t="shared" si="0"/>
        <v>40539.999999999964</v>
      </c>
      <c r="Q19" s="4">
        <f t="shared" si="1"/>
        <v>40540.999999999964</v>
      </c>
      <c r="R19" s="4">
        <f t="shared" si="2"/>
        <v>40541.999999999964</v>
      </c>
      <c r="S19" s="4">
        <f t="shared" si="3"/>
        <v>40542.999999999964</v>
      </c>
      <c r="T19" s="4">
        <f t="shared" si="4"/>
        <v>40543.999999999964</v>
      </c>
      <c r="U19" s="5"/>
      <c r="V19" s="5"/>
      <c r="W19" s="5">
        <v>17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4.5" customHeight="1" x14ac:dyDescent="0.35">
      <c r="A20" s="1"/>
      <c r="B20" s="1"/>
      <c r="C20" s="1"/>
      <c r="D20" s="1"/>
      <c r="E20" s="20" t="s">
        <v>10</v>
      </c>
      <c r="F20" s="8">
        <v>40543.375000000007</v>
      </c>
      <c r="G20" s="55"/>
      <c r="H20" s="20" t="s">
        <v>10</v>
      </c>
      <c r="I20" s="8">
        <v>40543.375000000007</v>
      </c>
      <c r="J20" s="55"/>
      <c r="K20" s="20" t="s">
        <v>10</v>
      </c>
      <c r="L20" s="8">
        <v>40543.375000000007</v>
      </c>
      <c r="M20" s="55"/>
      <c r="N20" s="55"/>
      <c r="O20" s="1"/>
      <c r="P20" s="4">
        <f t="shared" si="0"/>
        <v>40540.041666666628</v>
      </c>
      <c r="Q20" s="4">
        <f t="shared" si="1"/>
        <v>40541.041666666628</v>
      </c>
      <c r="R20" s="4">
        <f t="shared" si="2"/>
        <v>40542.041666666628</v>
      </c>
      <c r="S20" s="4">
        <f t="shared" si="3"/>
        <v>40543.041666666628</v>
      </c>
      <c r="T20" s="4">
        <f t="shared" si="4"/>
        <v>40544.041666666628</v>
      </c>
      <c r="U20" s="5"/>
      <c r="V20" s="5"/>
      <c r="W20" s="5">
        <v>18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4.5" customHeight="1" x14ac:dyDescent="0.35">
      <c r="A21" s="1"/>
      <c r="B21" s="1"/>
      <c r="C21" s="1"/>
      <c r="D21" s="49"/>
      <c r="E21" s="21" t="s">
        <v>12</v>
      </c>
      <c r="F21" s="14">
        <f>IF(F20-F19&lt;0,"",IF(F20+F19=0,0,IF(F19="",0,((F20-F19)*1440)/60)))</f>
        <v>1.0000000001164153</v>
      </c>
      <c r="G21" s="56"/>
      <c r="H21" s="21" t="s">
        <v>12</v>
      </c>
      <c r="I21" s="14">
        <f>IF(I20-I19&lt;0,"",IF(I20+I19=0,0,IF(I19="",0,((I20-I19)*1440)/60)))</f>
        <v>1.0000000001164153</v>
      </c>
      <c r="J21" s="56"/>
      <c r="K21" s="21" t="s">
        <v>12</v>
      </c>
      <c r="L21" s="14">
        <f>IF(L20-L19&lt;0,"",IF(L20+L19=0,0,IF(L19="",0,((L20-L19)*1440)/60)))</f>
        <v>1.0000000001164153</v>
      </c>
      <c r="M21" s="56"/>
      <c r="N21" s="56"/>
      <c r="O21" s="1"/>
      <c r="P21" s="4">
        <f t="shared" si="0"/>
        <v>40540.083333333292</v>
      </c>
      <c r="Q21" s="4">
        <f t="shared" si="1"/>
        <v>40541.083333333292</v>
      </c>
      <c r="R21" s="4">
        <f t="shared" si="2"/>
        <v>40542.083333333292</v>
      </c>
      <c r="S21" s="4">
        <f t="shared" si="3"/>
        <v>40543.083333333292</v>
      </c>
      <c r="T21" s="4">
        <f t="shared" si="4"/>
        <v>40544.083333333292</v>
      </c>
      <c r="U21" s="5"/>
      <c r="V21" s="5"/>
      <c r="W21" s="5">
        <v>19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4.5" hidden="1" customHeight="1" x14ac:dyDescent="0.35">
      <c r="A22" s="1"/>
      <c r="B22" s="68"/>
      <c r="C22" s="68"/>
      <c r="D22" s="50"/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4">
        <f t="shared" si="0"/>
        <v>40540.124999999956</v>
      </c>
      <c r="Q22" s="4">
        <f t="shared" si="1"/>
        <v>40541.124999999956</v>
      </c>
      <c r="R22" s="4">
        <f t="shared" si="2"/>
        <v>40542.124999999956</v>
      </c>
      <c r="S22" s="4">
        <f t="shared" si="3"/>
        <v>40543.124999999956</v>
      </c>
      <c r="T22" s="4">
        <f t="shared" si="4"/>
        <v>40544.124999999956</v>
      </c>
      <c r="U22" s="5"/>
      <c r="V22" s="5"/>
      <c r="W22" s="5">
        <v>20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4.5" hidden="1" customHeight="1" x14ac:dyDescent="0.35">
      <c r="A23" s="1"/>
      <c r="B23" s="1"/>
      <c r="C23" s="1"/>
      <c r="D23" s="51"/>
      <c r="E23" s="37" t="str">
        <f>IF(C7&gt;0,"No. matches per hour","")</f>
        <v>No. matches per hour</v>
      </c>
      <c r="F23" s="38">
        <f>IF($C$3="","",IF($C$7="","",$C$7*(60/$C$3)))</f>
        <v>1</v>
      </c>
      <c r="H23" s="37" t="str">
        <f>IF(C8&gt;0,"No. matches per hour","")</f>
        <v>No. matches per hour</v>
      </c>
      <c r="I23" s="38">
        <f>IF($C$3="","",IF($C$8="","",$C$8*(60/$C$3)))</f>
        <v>1</v>
      </c>
      <c r="J23" s="1"/>
      <c r="K23" s="37" t="str">
        <f>IF(C9&gt;0,"No. matches per hour","")</f>
        <v>No. matches per hour</v>
      </c>
      <c r="L23" s="38">
        <f>IF($C$3="","",IF($C$9="","",$C$9*(60/$C$3)))</f>
        <v>1</v>
      </c>
      <c r="M23" s="1"/>
      <c r="N23" s="1"/>
      <c r="O23" s="1"/>
      <c r="P23" s="4">
        <f t="shared" si="0"/>
        <v>40540.166666666621</v>
      </c>
      <c r="Q23" s="4">
        <f t="shared" si="1"/>
        <v>40541.166666666621</v>
      </c>
      <c r="R23" s="4">
        <f t="shared" si="2"/>
        <v>40542.166666666621</v>
      </c>
      <c r="S23" s="4">
        <f t="shared" si="3"/>
        <v>40543.166666666621</v>
      </c>
      <c r="T23" s="4">
        <f t="shared" si="4"/>
        <v>40544.166666666621</v>
      </c>
      <c r="U23" s="6"/>
      <c r="V23" s="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4.5" hidden="1" customHeight="1" x14ac:dyDescent="0.35">
      <c r="A24" s="1"/>
      <c r="B24" s="1"/>
      <c r="C24" s="1"/>
      <c r="D24" s="52"/>
      <c r="E24" s="39" t="str">
        <f>IF(AND(F3="",F4=""),"",IF(C7="","","No. matches possible Mon"))</f>
        <v>No. matches possible Mon</v>
      </c>
      <c r="F24" s="40">
        <f>IF($F$23="",0,IF(F5="","",F5*$F$23))</f>
        <v>0.99999999994179234</v>
      </c>
      <c r="H24" s="39" t="str">
        <f>IF(AND(I3="",I4=""),"",IF(C8="","","No. matches possible Mon"))</f>
        <v>No. matches possible Mon</v>
      </c>
      <c r="I24" s="40">
        <f>IF($I$23="",0,IF(I5="","",I5*$I$23))</f>
        <v>0.99999999994179234</v>
      </c>
      <c r="J24" s="1"/>
      <c r="K24" s="39" t="str">
        <f>IF(AND(L3="",L4=""),"",IF(F9="","","No. matches possible Mon"))</f>
        <v>No. matches possible Mon</v>
      </c>
      <c r="L24" s="40">
        <f>IF($L$23="",0,IF(L5="","",L5*$L$23))</f>
        <v>0.99999999994179234</v>
      </c>
      <c r="M24" s="1"/>
      <c r="N24" s="1"/>
      <c r="O24" s="1"/>
      <c r="P24" s="4">
        <f t="shared" si="0"/>
        <v>40540.208333333285</v>
      </c>
      <c r="Q24" s="4">
        <f t="shared" si="1"/>
        <v>40541.208333333285</v>
      </c>
      <c r="R24" s="4">
        <f t="shared" si="2"/>
        <v>40542.208333333285</v>
      </c>
      <c r="S24" s="4">
        <f t="shared" si="3"/>
        <v>40543.208333333285</v>
      </c>
      <c r="T24" s="4">
        <f t="shared" si="4"/>
        <v>40544.208333333285</v>
      </c>
      <c r="U24" s="6"/>
      <c r="V24" s="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4.5" hidden="1" customHeight="1" x14ac:dyDescent="0.35">
      <c r="A25" s="1"/>
      <c r="B25" s="1"/>
      <c r="C25" s="1"/>
      <c r="D25" s="49"/>
      <c r="E25" s="39" t="str">
        <f>IF(AND(F7="",F8=""),"",IF(C7="","","No. matches possible Tues"))</f>
        <v>No. matches possible Tues</v>
      </c>
      <c r="F25" s="40">
        <f>IF($F$23="",0,IF(F9="","",F9*$F$23))</f>
        <v>0.99999999994179234</v>
      </c>
      <c r="H25" s="39" t="str">
        <f>IF(AND(I7="",I8=""),"",IF(F9="","","No. matches possible Tues"))</f>
        <v>No. matches possible Tues</v>
      </c>
      <c r="I25" s="40">
        <f>IF($I$23="",0,IF(I9="","",I9*$I$23))</f>
        <v>0.99999999994179234</v>
      </c>
      <c r="J25" s="1"/>
      <c r="K25" s="39" t="str">
        <f>IF(AND(L7="",L8=""),"",IF(I9="","","No. matches possible Tues"))</f>
        <v>No. matches possible Tues</v>
      </c>
      <c r="L25" s="40">
        <f>IF($L$23="",0,IF(L9="","",L9*$L$23))</f>
        <v>0.99999999994179234</v>
      </c>
      <c r="M25" s="1"/>
      <c r="N25" s="1"/>
      <c r="O25" s="1"/>
      <c r="P25" s="4">
        <f t="shared" si="0"/>
        <v>40540.249999999949</v>
      </c>
      <c r="Q25" s="4">
        <f t="shared" si="1"/>
        <v>40541.249999999949</v>
      </c>
      <c r="R25" s="4">
        <f t="shared" si="2"/>
        <v>40542.249999999949</v>
      </c>
      <c r="S25" s="4">
        <f t="shared" si="3"/>
        <v>40543.249999999949</v>
      </c>
      <c r="T25" s="4">
        <f t="shared" si="4"/>
        <v>40544.249999999949</v>
      </c>
      <c r="U25" s="6"/>
      <c r="V25" s="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4.5" hidden="1" customHeight="1" x14ac:dyDescent="0.35">
      <c r="A26" s="1"/>
      <c r="B26" s="1"/>
      <c r="C26" s="1"/>
      <c r="D26" s="53"/>
      <c r="E26" s="39" t="str">
        <f>IF(AND(F11="",F12=""),"",IF(C7="","","No. matches possible Wed"))</f>
        <v>No. matches possible Wed</v>
      </c>
      <c r="F26" s="40">
        <f>IF($F$23="",0,IF(F13="","",F13*$F$23))</f>
        <v>1.0000000001164153</v>
      </c>
      <c r="H26" s="39" t="str">
        <f>IF(AND(I11="",I12=""),"",IF(F8="","","No. matches possible Wed"))</f>
        <v>No. matches possible Wed</v>
      </c>
      <c r="I26" s="40">
        <f>IF($I$23="",0,IF(I13="","",I13*$I$23))</f>
        <v>1.0000000001164153</v>
      </c>
      <c r="J26" s="1"/>
      <c r="K26" s="39" t="str">
        <f>IF(AND(L11="",L12=""),"",IF(I8="","","No. matches possible Wed"))</f>
        <v>No. matches possible Wed</v>
      </c>
      <c r="L26" s="40">
        <f>IF($L$23="",0,IF(L13="","",L13*$L$23))</f>
        <v>1.0000000001164153</v>
      </c>
      <c r="M26" s="1"/>
      <c r="N26" s="1"/>
      <c r="O26" s="1"/>
      <c r="P26" s="4">
        <f t="shared" si="0"/>
        <v>40540.291666666613</v>
      </c>
      <c r="Q26" s="4">
        <f t="shared" si="1"/>
        <v>40541.291666666613</v>
      </c>
      <c r="R26" s="4">
        <f t="shared" si="2"/>
        <v>40542.291666666613</v>
      </c>
      <c r="S26" s="4">
        <f t="shared" si="3"/>
        <v>40543.291666666613</v>
      </c>
      <c r="T26" s="4">
        <f t="shared" si="4"/>
        <v>40544.291666666613</v>
      </c>
      <c r="U26" s="6"/>
      <c r="V26" s="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4.5" hidden="1" customHeight="1" x14ac:dyDescent="0.35">
      <c r="A27" s="1"/>
      <c r="B27" s="1"/>
      <c r="C27" s="1"/>
      <c r="D27" s="53"/>
      <c r="E27" s="39" t="str">
        <f>IF(AND(F15="",F16=""),"",IF(C7="","","No. matches possible Thurs"))</f>
        <v>No. matches possible Thurs</v>
      </c>
      <c r="F27" s="40">
        <f>IF($F$23="",0,IF(F17="","",F17*$F$23))</f>
        <v>1.0000000001164153</v>
      </c>
      <c r="H27" s="39" t="str">
        <f>IF(AND(I15="",I16=""),"",IF(F8="","","No. matches possible Thurs"))</f>
        <v>No. matches possible Thurs</v>
      </c>
      <c r="I27" s="40">
        <f>IF($I$23="",0,IF(I17="","",I17*$I$23))</f>
        <v>1.0000000001164153</v>
      </c>
      <c r="K27" s="39" t="str">
        <f>IF(AND(L15="",L16=""),"",IF(I8="","","No. matches possible Thurs"))</f>
        <v>No. matches possible Thurs</v>
      </c>
      <c r="L27" s="40">
        <f>IF($L$23="",0,IF(L17="","",L17*$L$23))</f>
        <v>1.0000000001164153</v>
      </c>
      <c r="M27" s="1"/>
      <c r="N27" s="1"/>
      <c r="O27" s="1"/>
      <c r="P27" s="4">
        <f t="shared" si="0"/>
        <v>40540.333333333278</v>
      </c>
      <c r="Q27" s="4">
        <f t="shared" si="1"/>
        <v>40541.333333333278</v>
      </c>
      <c r="R27" s="4">
        <f t="shared" si="2"/>
        <v>40542.333333333278</v>
      </c>
      <c r="S27" s="4">
        <f t="shared" si="3"/>
        <v>40543.333333333278</v>
      </c>
      <c r="T27" s="4">
        <f t="shared" si="4"/>
        <v>40544.333333333278</v>
      </c>
      <c r="U27" s="6"/>
      <c r="V27" s="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4.5" hidden="1" customHeight="1" x14ac:dyDescent="0.35">
      <c r="A28" s="1"/>
      <c r="B28" s="1"/>
      <c r="C28" s="1"/>
      <c r="D28" s="53"/>
      <c r="E28" s="39" t="str">
        <f>IF(AND(F19="",F20=""),"",IF(C7="","","No. matches possible Fri"))</f>
        <v>No. matches possible Fri</v>
      </c>
      <c r="F28" s="40">
        <f>IF($F$23="",0,IF(F21="","",F21*$F$23))</f>
        <v>1.0000000001164153</v>
      </c>
      <c r="H28" s="39" t="str">
        <f>IF(AND(I19="",I20=""),"",IF(F8="","","No. matches possible Fri"))</f>
        <v>No. matches possible Fri</v>
      </c>
      <c r="I28" s="40">
        <f>IF($I$23="",0,IF(I21="","",I21*$I$23))</f>
        <v>1.0000000001164153</v>
      </c>
      <c r="K28" s="39" t="str">
        <f>IF(AND(L19="",L20=""),"",IF(I8="","","No. matches possible Fri"))</f>
        <v>No. matches possible Fri</v>
      </c>
      <c r="L28" s="40">
        <f>IF($L$23="",0,IF(L21="","",L21*$L$23))</f>
        <v>1.0000000001164153</v>
      </c>
      <c r="M28" s="1"/>
      <c r="N28" s="1"/>
      <c r="O28" s="1"/>
      <c r="P28" s="4">
        <f t="shared" si="0"/>
        <v>40540.374999999942</v>
      </c>
      <c r="Q28" s="4">
        <f t="shared" si="1"/>
        <v>40541.374999999942</v>
      </c>
      <c r="R28" s="4">
        <f t="shared" si="2"/>
        <v>40542.374999999942</v>
      </c>
      <c r="S28" s="4">
        <f t="shared" si="3"/>
        <v>40543.374999999942</v>
      </c>
      <c r="T28" s="4">
        <f t="shared" si="4"/>
        <v>40544.374999999942</v>
      </c>
      <c r="U28" s="6"/>
      <c r="V28" s="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4.5" hidden="1" customHeight="1" x14ac:dyDescent="0.35">
      <c r="A29" s="1"/>
      <c r="B29" s="1"/>
      <c r="C29" s="1"/>
      <c r="D29" s="53"/>
      <c r="E29" s="39" t="str">
        <f>IF(F29=0,"","No. matches for  week")</f>
        <v>No. matches for  week</v>
      </c>
      <c r="F29" s="40">
        <f>IF(SUM(F24:F28)="",0,SUM(F24:F28))</f>
        <v>5.0000000002328306</v>
      </c>
      <c r="H29" s="39" t="str">
        <f>IF(I29=0,"","No. matches for  week")</f>
        <v>No. matches for  week</v>
      </c>
      <c r="I29" s="40">
        <f>IF(SUM(I24:I28)="",0,SUM(I24:I28))</f>
        <v>5.0000000002328306</v>
      </c>
      <c r="J29" s="1"/>
      <c r="K29" s="39" t="str">
        <f>IF(L29=0,"","No. matches for  w/e")</f>
        <v>No. matches for  w/e</v>
      </c>
      <c r="L29" s="40">
        <f>IF(SUM(L24:L28)="",0,SUM(L24:L28))</f>
        <v>5.0000000002328306</v>
      </c>
      <c r="M29" s="1"/>
      <c r="N29" s="1"/>
      <c r="O29" s="1"/>
      <c r="P29" s="4">
        <f t="shared" si="0"/>
        <v>40540.416666666606</v>
      </c>
      <c r="Q29" s="4">
        <f t="shared" si="1"/>
        <v>40541.416666666606</v>
      </c>
      <c r="R29" s="4">
        <f t="shared" si="2"/>
        <v>40542.416666666606</v>
      </c>
      <c r="S29" s="4">
        <f t="shared" si="3"/>
        <v>40543.416666666606</v>
      </c>
      <c r="T29" s="4">
        <f t="shared" si="4"/>
        <v>40544.416666666606</v>
      </c>
      <c r="U29" s="6"/>
      <c r="V29" s="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5" hidden="1" customHeight="1" x14ac:dyDescent="0.35">
      <c r="A30" s="1"/>
      <c r="B30" s="1"/>
      <c r="C30" s="1"/>
      <c r="D30" s="53"/>
      <c r="E30" s="41" t="str">
        <f>IF(F29=0,"","No. hours at this centre")</f>
        <v>No. hours at this centre</v>
      </c>
      <c r="F30" s="42">
        <f>IF(C7="",0,IF(F5+F9+F13+F17+F21=0,0,(F5+F9+F13+F17+F21)))</f>
        <v>5.0000000002328306</v>
      </c>
      <c r="H30" s="41" t="str">
        <f>IF(I29=0,"","No. hours at this centre")</f>
        <v>No. hours at this centre</v>
      </c>
      <c r="I30" s="42">
        <f>IF(F8="",0,IF(I5+I9+I13+I17+I21=0,0,(I5+I9+I13+I17+I21)))</f>
        <v>5.0000000002328306</v>
      </c>
      <c r="J30" s="1"/>
      <c r="K30" s="41" t="str">
        <f>IF(L29=0,"","No. hours at this centre")</f>
        <v>No. hours at this centre</v>
      </c>
      <c r="L30" s="42">
        <f>IF(I8="",0,IF(L5+L9+L13+L17+L21=0,0,(L5+L9+L13+L17+L21)))</f>
        <v>5.0000000002328306</v>
      </c>
      <c r="M30" s="1"/>
      <c r="N30" s="1"/>
      <c r="O30" s="1"/>
      <c r="P30" s="4">
        <f t="shared" si="0"/>
        <v>40540.45833333327</v>
      </c>
      <c r="Q30" s="4">
        <f t="shared" si="1"/>
        <v>40541.45833333327</v>
      </c>
      <c r="R30" s="4">
        <f t="shared" si="2"/>
        <v>40542.45833333327</v>
      </c>
      <c r="S30" s="4">
        <f t="shared" si="3"/>
        <v>40543.45833333327</v>
      </c>
      <c r="T30" s="4">
        <f t="shared" si="4"/>
        <v>40544.45833333327</v>
      </c>
      <c r="U30" s="6"/>
      <c r="V30" s="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8.5" customHeight="1" x14ac:dyDescent="0.35">
      <c r="A31" s="1"/>
      <c r="B31" s="1"/>
      <c r="C31" s="1"/>
      <c r="D31" s="5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">
        <f t="shared" si="0"/>
        <v>40540.499999999935</v>
      </c>
      <c r="Q31" s="4">
        <f t="shared" si="1"/>
        <v>40541.499999999935</v>
      </c>
      <c r="R31" s="4">
        <f t="shared" si="2"/>
        <v>40542.499999999935</v>
      </c>
      <c r="S31" s="4">
        <f t="shared" si="3"/>
        <v>40543.499999999935</v>
      </c>
      <c r="T31" s="4">
        <f t="shared" si="4"/>
        <v>40544.499999999935</v>
      </c>
      <c r="U31" s="6"/>
      <c r="V31" s="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35">
      <c r="A32" s="1"/>
      <c r="B32" s="72" t="s">
        <v>30</v>
      </c>
      <c r="C32" s="85" t="s">
        <v>31</v>
      </c>
      <c r="D32" s="86"/>
      <c r="E32" s="43" t="s">
        <v>37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4">
        <f t="shared" si="0"/>
        <v>40540.541666666599</v>
      </c>
      <c r="Q32" s="4">
        <f t="shared" si="1"/>
        <v>40541.541666666599</v>
      </c>
      <c r="R32" s="4">
        <f t="shared" si="2"/>
        <v>40542.541666666599</v>
      </c>
      <c r="S32" s="4">
        <f t="shared" si="3"/>
        <v>40543.541666666599</v>
      </c>
      <c r="T32" s="4">
        <f t="shared" si="4"/>
        <v>40544.541666666599</v>
      </c>
      <c r="U32" s="6"/>
      <c r="V32" s="6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5" x14ac:dyDescent="0.35">
      <c r="A33" s="1"/>
      <c r="B33" s="73" t="str">
        <f>IF(B7="","",B7)</f>
        <v>Gerringong</v>
      </c>
      <c r="C33" s="93">
        <v>10</v>
      </c>
      <c r="D33" s="94"/>
      <c r="E33" s="69">
        <f>IF(C7="","",(C33*F30)*C7)</f>
        <v>50.000000002328306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4">
        <f t="shared" si="0"/>
        <v>40540.583333333263</v>
      </c>
      <c r="Q33" s="4">
        <f t="shared" si="1"/>
        <v>40541.583333333263</v>
      </c>
      <c r="R33" s="4">
        <f t="shared" si="2"/>
        <v>40542.583333333263</v>
      </c>
      <c r="S33" s="4">
        <f t="shared" si="3"/>
        <v>40543.583333333263</v>
      </c>
      <c r="T33" s="4">
        <f t="shared" si="4"/>
        <v>40544.583333333263</v>
      </c>
      <c r="U33" s="6"/>
      <c r="V33" s="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5" x14ac:dyDescent="0.35">
      <c r="A34" s="1"/>
      <c r="B34" s="74" t="str">
        <f t="shared" ref="B34:B35" si="5">IF(B8="","",B8)</f>
        <v>North Nowra</v>
      </c>
      <c r="C34" s="95">
        <v>10</v>
      </c>
      <c r="D34" s="96"/>
      <c r="E34" s="70">
        <f>IF(C8="","",(C34*I30)*C8)</f>
        <v>50.000000002328306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4">
        <f t="shared" si="0"/>
        <v>40540.624999999927</v>
      </c>
      <c r="Q34" s="4">
        <f t="shared" si="1"/>
        <v>40541.624999999927</v>
      </c>
      <c r="R34" s="4">
        <f t="shared" si="2"/>
        <v>40542.624999999927</v>
      </c>
      <c r="S34" s="4">
        <f t="shared" si="3"/>
        <v>40543.624999999927</v>
      </c>
      <c r="T34" s="4">
        <f t="shared" si="4"/>
        <v>40544.624999999927</v>
      </c>
      <c r="U34" s="6"/>
      <c r="V34" s="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5" x14ac:dyDescent="0.35">
      <c r="A35" s="1"/>
      <c r="B35" s="75" t="str">
        <f t="shared" si="5"/>
        <v>Dgen</v>
      </c>
      <c r="C35" s="90">
        <v>10</v>
      </c>
      <c r="D35" s="91"/>
      <c r="E35" s="71">
        <f>IF(C9="","",(C35*L30)*C9)</f>
        <v>50.000000002328306</v>
      </c>
      <c r="F35" s="1"/>
      <c r="G35" s="1"/>
      <c r="H35" s="1"/>
      <c r="I35" s="1"/>
      <c r="J35" s="1"/>
      <c r="K35" s="1"/>
      <c r="L35" s="1"/>
      <c r="M35" s="1"/>
      <c r="O35" s="1"/>
      <c r="P35" s="4">
        <f t="shared" si="0"/>
        <v>40540.666666666591</v>
      </c>
      <c r="Q35" s="4">
        <f t="shared" si="1"/>
        <v>40541.666666666591</v>
      </c>
      <c r="R35" s="4">
        <f t="shared" si="2"/>
        <v>40542.666666666591</v>
      </c>
      <c r="S35" s="4">
        <f t="shared" si="3"/>
        <v>40543.666666666591</v>
      </c>
      <c r="T35" s="4">
        <f t="shared" si="4"/>
        <v>40544.666666666591</v>
      </c>
      <c r="U35" s="6"/>
      <c r="V35" s="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35">
      <c r="B36" s="92" t="s">
        <v>36</v>
      </c>
      <c r="C36" s="83"/>
      <c r="D36" s="83"/>
      <c r="E36" s="45">
        <f>SUM(E33:E35)</f>
        <v>150.00000000698492</v>
      </c>
      <c r="F36" s="1"/>
      <c r="G36" s="1"/>
      <c r="H36" s="1"/>
      <c r="I36" s="1"/>
      <c r="J36" s="1"/>
      <c r="K36" s="1"/>
      <c r="L36" s="1"/>
      <c r="M36" s="1"/>
      <c r="P36" s="4">
        <f t="shared" ref="P36:P53" si="6">P35+TIME(0,$C$3,0)</f>
        <v>40540.708333333256</v>
      </c>
      <c r="Q36" s="4">
        <f t="shared" ref="Q36:Q53" si="7">Q35+TIME(0,$C$3,0)</f>
        <v>40541.708333333256</v>
      </c>
      <c r="R36" s="4">
        <f t="shared" ref="R36:R53" si="8">R35+TIME(0,$C$3,0)</f>
        <v>40542.708333333256</v>
      </c>
      <c r="S36" s="4">
        <f t="shared" ref="S36:S53" si="9">S35+TIME(0,$C$3,0)</f>
        <v>40543.708333333256</v>
      </c>
      <c r="T36" s="4">
        <f t="shared" ref="T36:T53" si="10">T35+TIME(0,$C$3,0)</f>
        <v>40544.708333333256</v>
      </c>
      <c r="U36" s="6"/>
      <c r="V36" s="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P37" s="4">
        <f t="shared" si="6"/>
        <v>40540.74999999992</v>
      </c>
      <c r="Q37" s="4">
        <f t="shared" si="7"/>
        <v>40541.74999999992</v>
      </c>
      <c r="R37" s="4">
        <f t="shared" si="8"/>
        <v>40542.74999999992</v>
      </c>
      <c r="S37" s="4">
        <f t="shared" si="9"/>
        <v>40543.74999999992</v>
      </c>
      <c r="T37" s="4">
        <f t="shared" si="10"/>
        <v>40544.74999999992</v>
      </c>
      <c r="U37" s="6"/>
      <c r="V37" s="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4">
        <f t="shared" si="6"/>
        <v>40540.791666666584</v>
      </c>
      <c r="Q38" s="4">
        <f t="shared" si="7"/>
        <v>40541.791666666584</v>
      </c>
      <c r="R38" s="4">
        <f t="shared" si="8"/>
        <v>40542.791666666584</v>
      </c>
      <c r="S38" s="4">
        <f t="shared" si="9"/>
        <v>40543.791666666584</v>
      </c>
      <c r="T38" s="4">
        <f t="shared" si="10"/>
        <v>40544.791666666584</v>
      </c>
      <c r="U38" s="6"/>
      <c r="V38" s="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P39" s="4">
        <f t="shared" si="6"/>
        <v>40540.833333333248</v>
      </c>
      <c r="Q39" s="4">
        <f t="shared" si="7"/>
        <v>40541.833333333248</v>
      </c>
      <c r="R39" s="4">
        <f t="shared" si="8"/>
        <v>40542.833333333248</v>
      </c>
      <c r="S39" s="4">
        <f t="shared" si="9"/>
        <v>40543.833333333248</v>
      </c>
      <c r="T39" s="4">
        <f t="shared" si="10"/>
        <v>40544.833333333248</v>
      </c>
      <c r="U39" s="6"/>
      <c r="V39" s="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4">
        <f t="shared" si="6"/>
        <v>40540.874999999913</v>
      </c>
      <c r="Q40" s="4">
        <f t="shared" si="7"/>
        <v>40541.874999999913</v>
      </c>
      <c r="R40" s="4">
        <f t="shared" si="8"/>
        <v>40542.874999999913</v>
      </c>
      <c r="S40" s="4">
        <f t="shared" si="9"/>
        <v>40543.874999999913</v>
      </c>
      <c r="T40" s="4">
        <f t="shared" si="10"/>
        <v>40544.874999999913</v>
      </c>
      <c r="U40" s="6"/>
      <c r="V40" s="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4">
        <f t="shared" si="6"/>
        <v>40540.916666666577</v>
      </c>
      <c r="Q41" s="4">
        <f t="shared" si="7"/>
        <v>40541.916666666577</v>
      </c>
      <c r="R41" s="4">
        <f t="shared" si="8"/>
        <v>40542.916666666577</v>
      </c>
      <c r="S41" s="4">
        <f t="shared" si="9"/>
        <v>40543.916666666577</v>
      </c>
      <c r="T41" s="4">
        <f t="shared" si="10"/>
        <v>40544.916666666577</v>
      </c>
      <c r="U41" s="6"/>
      <c r="V41" s="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4">
        <f t="shared" si="6"/>
        <v>40540.958333333241</v>
      </c>
      <c r="Q42" s="4">
        <f t="shared" si="7"/>
        <v>40541.958333333241</v>
      </c>
      <c r="R42" s="4">
        <f t="shared" si="8"/>
        <v>40542.958333333241</v>
      </c>
      <c r="S42" s="4">
        <f t="shared" si="9"/>
        <v>40543.958333333241</v>
      </c>
      <c r="T42" s="4">
        <f t="shared" si="10"/>
        <v>40544.958333333241</v>
      </c>
      <c r="U42" s="6"/>
      <c r="V42" s="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P43" s="4">
        <f t="shared" si="6"/>
        <v>40540.999999999905</v>
      </c>
      <c r="Q43" s="4">
        <f t="shared" si="7"/>
        <v>40541.999999999905</v>
      </c>
      <c r="R43" s="4">
        <f t="shared" si="8"/>
        <v>40542.999999999905</v>
      </c>
      <c r="S43" s="4">
        <f t="shared" si="9"/>
        <v>40543.999999999905</v>
      </c>
      <c r="T43" s="4">
        <f t="shared" si="10"/>
        <v>40544.999999999905</v>
      </c>
      <c r="U43" s="6"/>
      <c r="V43" s="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P44" s="4">
        <f t="shared" si="6"/>
        <v>40541.04166666657</v>
      </c>
      <c r="Q44" s="4">
        <f t="shared" si="7"/>
        <v>40542.04166666657</v>
      </c>
      <c r="R44" s="4">
        <f t="shared" si="8"/>
        <v>40543.04166666657</v>
      </c>
      <c r="S44" s="4">
        <f t="shared" si="9"/>
        <v>40544.04166666657</v>
      </c>
      <c r="T44" s="4">
        <f t="shared" si="10"/>
        <v>40545.04166666657</v>
      </c>
      <c r="U44" s="6"/>
      <c r="V44" s="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P45" s="4">
        <f t="shared" si="6"/>
        <v>40541.083333333234</v>
      </c>
      <c r="Q45" s="4">
        <f t="shared" si="7"/>
        <v>40542.083333333234</v>
      </c>
      <c r="R45" s="4">
        <f t="shared" si="8"/>
        <v>40543.083333333234</v>
      </c>
      <c r="S45" s="4">
        <f t="shared" si="9"/>
        <v>40544.083333333234</v>
      </c>
      <c r="T45" s="4">
        <f t="shared" si="10"/>
        <v>40545.083333333234</v>
      </c>
      <c r="U45" s="6"/>
      <c r="V45" s="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P46" s="4">
        <f t="shared" si="6"/>
        <v>40541.124999999898</v>
      </c>
      <c r="Q46" s="4">
        <f t="shared" si="7"/>
        <v>40542.124999999898</v>
      </c>
      <c r="R46" s="4">
        <f t="shared" si="8"/>
        <v>40543.124999999898</v>
      </c>
      <c r="S46" s="4">
        <f t="shared" si="9"/>
        <v>40544.124999999898</v>
      </c>
      <c r="T46" s="4">
        <f t="shared" si="10"/>
        <v>40545.124999999898</v>
      </c>
      <c r="U46" s="6"/>
      <c r="V46" s="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P47" s="4">
        <f t="shared" si="6"/>
        <v>40541.166666666562</v>
      </c>
      <c r="Q47" s="4">
        <f t="shared" si="7"/>
        <v>40542.166666666562</v>
      </c>
      <c r="R47" s="4">
        <f t="shared" si="8"/>
        <v>40543.166666666562</v>
      </c>
      <c r="S47" s="4">
        <f t="shared" si="9"/>
        <v>40544.166666666562</v>
      </c>
      <c r="T47" s="4">
        <f t="shared" si="10"/>
        <v>40545.166666666562</v>
      </c>
      <c r="U47" s="6"/>
      <c r="V47" s="6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P48" s="4">
        <f t="shared" si="6"/>
        <v>40541.208333333227</v>
      </c>
      <c r="Q48" s="4">
        <f t="shared" si="7"/>
        <v>40542.208333333227</v>
      </c>
      <c r="R48" s="4">
        <f t="shared" si="8"/>
        <v>40543.208333333227</v>
      </c>
      <c r="S48" s="4">
        <f t="shared" si="9"/>
        <v>40544.208333333227</v>
      </c>
      <c r="T48" s="4">
        <f t="shared" si="10"/>
        <v>40545.208333333227</v>
      </c>
      <c r="U48" s="6"/>
      <c r="V48" s="6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4">
        <f t="shared" si="6"/>
        <v>40541.249999999891</v>
      </c>
      <c r="Q49" s="4">
        <f t="shared" si="7"/>
        <v>40542.249999999891</v>
      </c>
      <c r="R49" s="4">
        <f t="shared" si="8"/>
        <v>40543.249999999891</v>
      </c>
      <c r="S49" s="4">
        <f t="shared" si="9"/>
        <v>40544.249999999891</v>
      </c>
      <c r="T49" s="4">
        <f t="shared" si="10"/>
        <v>40545.249999999891</v>
      </c>
      <c r="U49" s="6"/>
      <c r="V49" s="6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4">
        <f t="shared" si="6"/>
        <v>40541.291666666555</v>
      </c>
      <c r="Q50" s="4">
        <f t="shared" si="7"/>
        <v>40542.291666666555</v>
      </c>
      <c r="R50" s="4">
        <f t="shared" si="8"/>
        <v>40543.291666666555</v>
      </c>
      <c r="S50" s="4">
        <f t="shared" si="9"/>
        <v>40544.291666666555</v>
      </c>
      <c r="T50" s="4">
        <f t="shared" si="10"/>
        <v>40545.291666666555</v>
      </c>
      <c r="U50" s="6"/>
      <c r="V50" s="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4">
        <f t="shared" si="6"/>
        <v>40541.333333333219</v>
      </c>
      <c r="Q51" s="4">
        <f t="shared" si="7"/>
        <v>40542.333333333219</v>
      </c>
      <c r="R51" s="4">
        <f t="shared" si="8"/>
        <v>40543.333333333219</v>
      </c>
      <c r="S51" s="4">
        <f t="shared" si="9"/>
        <v>40544.333333333219</v>
      </c>
      <c r="T51" s="4">
        <f t="shared" si="10"/>
        <v>40545.333333333219</v>
      </c>
      <c r="U51" s="6"/>
      <c r="V51" s="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4">
        <f t="shared" si="6"/>
        <v>40541.374999999884</v>
      </c>
      <c r="Q52" s="4">
        <f t="shared" si="7"/>
        <v>40542.374999999884</v>
      </c>
      <c r="R52" s="4">
        <f t="shared" si="8"/>
        <v>40543.374999999884</v>
      </c>
      <c r="S52" s="4">
        <f t="shared" si="9"/>
        <v>40544.374999999884</v>
      </c>
      <c r="T52" s="4">
        <f t="shared" si="10"/>
        <v>40545.374999999884</v>
      </c>
      <c r="U52" s="6"/>
      <c r="V52" s="6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P53" s="4">
        <f t="shared" si="6"/>
        <v>40541.416666666548</v>
      </c>
      <c r="Q53" s="4">
        <f t="shared" si="7"/>
        <v>40542.416666666548</v>
      </c>
      <c r="R53" s="4">
        <f t="shared" si="8"/>
        <v>40543.416666666548</v>
      </c>
      <c r="S53" s="4">
        <f t="shared" si="9"/>
        <v>40544.416666666548</v>
      </c>
      <c r="T53" s="4">
        <f t="shared" si="10"/>
        <v>40545.416666666548</v>
      </c>
      <c r="U53" s="6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P54" s="4"/>
      <c r="Q54" s="4"/>
      <c r="R54" s="4"/>
      <c r="S54" s="4"/>
      <c r="T54" s="4">
        <f t="shared" ref="T54:T63" si="11">T53+TIME(0,$C$3,0)</f>
        <v>40545.458333333212</v>
      </c>
      <c r="U54" s="6"/>
      <c r="X54" s="1"/>
      <c r="Y54" s="1"/>
      <c r="Z54" s="1"/>
      <c r="AA54" s="1"/>
      <c r="AB54" s="1"/>
      <c r="AC54" s="1"/>
      <c r="AD54" s="1"/>
    </row>
    <row r="55" spans="2:42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P55" s="4"/>
      <c r="Q55" s="4"/>
      <c r="R55" s="4"/>
      <c r="S55" s="4"/>
      <c r="T55" s="4">
        <f t="shared" si="11"/>
        <v>40545.499999999876</v>
      </c>
      <c r="U55" s="6"/>
      <c r="X55" s="1"/>
      <c r="Y55" s="1"/>
      <c r="Z55" s="1"/>
      <c r="AA55" s="1"/>
      <c r="AB55" s="1"/>
      <c r="AC55" s="1"/>
      <c r="AD55" s="1"/>
    </row>
    <row r="56" spans="2:42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P56" s="4"/>
      <c r="Q56" s="4"/>
      <c r="R56" s="4"/>
      <c r="S56" s="4"/>
      <c r="T56" s="4">
        <f t="shared" si="11"/>
        <v>40545.541666666541</v>
      </c>
      <c r="U56" s="6"/>
      <c r="X56" s="1"/>
      <c r="Y56" s="1"/>
      <c r="Z56" s="1"/>
      <c r="AA56" s="1"/>
      <c r="AB56" s="1"/>
      <c r="AC56" s="1"/>
      <c r="AD56" s="1"/>
    </row>
    <row r="57" spans="2:42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P57" s="4"/>
      <c r="Q57" s="4"/>
      <c r="R57" s="4"/>
      <c r="S57" s="4"/>
      <c r="T57" s="4">
        <f t="shared" si="11"/>
        <v>40545.583333333205</v>
      </c>
      <c r="U57" s="6"/>
      <c r="X57" s="1"/>
      <c r="Y57" s="1"/>
      <c r="Z57" s="1"/>
      <c r="AA57" s="1"/>
      <c r="AB57" s="1"/>
      <c r="AC57" s="1"/>
      <c r="AD57" s="1"/>
    </row>
    <row r="58" spans="2:42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P58" s="4"/>
      <c r="Q58" s="4"/>
      <c r="R58" s="4"/>
      <c r="S58" s="4"/>
      <c r="T58" s="4">
        <f t="shared" si="11"/>
        <v>40545.624999999869</v>
      </c>
      <c r="U58" s="6"/>
      <c r="X58" s="1"/>
      <c r="Y58" s="1"/>
      <c r="Z58" s="1"/>
      <c r="AA58" s="1"/>
      <c r="AB58" s="1"/>
      <c r="AC58" s="1"/>
      <c r="AD58" s="1"/>
    </row>
    <row r="59" spans="2:42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P59" s="4"/>
      <c r="Q59" s="4"/>
      <c r="R59" s="4"/>
      <c r="S59" s="4"/>
      <c r="T59" s="4">
        <f t="shared" si="11"/>
        <v>40545.666666666533</v>
      </c>
      <c r="U59" s="6"/>
      <c r="X59" s="1"/>
      <c r="Y59" s="1"/>
      <c r="Z59" s="1"/>
      <c r="AA59" s="1"/>
      <c r="AB59" s="1"/>
      <c r="AC59" s="1"/>
      <c r="AD59" s="1"/>
    </row>
    <row r="60" spans="2:42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P60" s="4"/>
      <c r="Q60" s="4"/>
      <c r="R60" s="4"/>
      <c r="S60" s="4"/>
      <c r="T60" s="4">
        <f t="shared" si="11"/>
        <v>40545.708333333198</v>
      </c>
      <c r="U60" s="6"/>
      <c r="X60" s="1"/>
      <c r="Y60" s="1"/>
      <c r="Z60" s="1"/>
      <c r="AA60" s="1"/>
      <c r="AB60" s="1"/>
      <c r="AC60" s="1"/>
      <c r="AD60" s="1"/>
    </row>
    <row r="61" spans="2:42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P61" s="4"/>
      <c r="Q61" s="4"/>
      <c r="R61" s="4"/>
      <c r="S61" s="4"/>
      <c r="T61" s="4">
        <f t="shared" si="11"/>
        <v>40545.749999999862</v>
      </c>
      <c r="U61" s="6"/>
      <c r="X61" s="1"/>
      <c r="Y61" s="1"/>
      <c r="Z61" s="1"/>
      <c r="AA61" s="1"/>
      <c r="AB61" s="1"/>
      <c r="AC61" s="1"/>
      <c r="AD61" s="1"/>
    </row>
    <row r="62" spans="2:42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P62" s="4"/>
      <c r="Q62" s="4"/>
      <c r="R62" s="4"/>
      <c r="S62" s="4"/>
      <c r="T62" s="4">
        <f t="shared" si="11"/>
        <v>40545.791666666526</v>
      </c>
      <c r="U62" s="6"/>
      <c r="X62" s="1"/>
      <c r="Y62" s="1"/>
      <c r="Z62" s="1"/>
      <c r="AA62" s="1"/>
      <c r="AB62" s="1"/>
      <c r="AC62" s="1"/>
      <c r="AD62" s="1"/>
    </row>
    <row r="63" spans="2:42" x14ac:dyDescent="0.3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P63" s="4"/>
      <c r="Q63" s="4"/>
      <c r="R63" s="4"/>
      <c r="S63" s="4"/>
      <c r="T63" s="4">
        <f t="shared" si="11"/>
        <v>40545.83333333319</v>
      </c>
      <c r="U63" s="6"/>
      <c r="V63" s="1"/>
      <c r="W63" s="1"/>
      <c r="X63" s="1"/>
      <c r="Y63" s="1"/>
      <c r="Z63" s="1"/>
      <c r="AA63" s="1"/>
      <c r="AB63" s="1"/>
      <c r="AC63" s="1"/>
      <c r="AD63" s="1"/>
    </row>
    <row r="64" spans="2:42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P64" s="4"/>
      <c r="Q64" s="4"/>
      <c r="R64" s="4"/>
      <c r="S64" s="4"/>
      <c r="T64" s="4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3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P65" s="4"/>
      <c r="Q65" s="4"/>
      <c r="R65" s="4"/>
      <c r="S65" s="4"/>
      <c r="T65" s="4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P66" s="4"/>
      <c r="Q66" s="4"/>
      <c r="R66" s="4"/>
      <c r="S66" s="4"/>
      <c r="T66" s="4"/>
    </row>
    <row r="67" spans="2:30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P67" s="4"/>
      <c r="Q67" s="4"/>
      <c r="R67" s="4"/>
      <c r="S67" s="4"/>
      <c r="T67" s="4"/>
    </row>
    <row r="68" spans="2:30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P68" s="4"/>
      <c r="Q68" s="4"/>
      <c r="R68" s="4"/>
      <c r="S68" s="4"/>
      <c r="T68" s="4"/>
    </row>
    <row r="69" spans="2:30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P69" s="4"/>
      <c r="Q69" s="4"/>
      <c r="R69" s="4"/>
      <c r="S69" s="4"/>
      <c r="T69" s="4"/>
    </row>
    <row r="70" spans="2:30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P70" s="4"/>
      <c r="Q70" s="4"/>
      <c r="R70" s="4"/>
      <c r="S70" s="4"/>
      <c r="T70" s="4"/>
    </row>
    <row r="71" spans="2:30" x14ac:dyDescent="0.35">
      <c r="P71" s="4"/>
      <c r="Q71" s="4"/>
      <c r="R71" s="4"/>
      <c r="S71" s="4"/>
      <c r="T71" s="4"/>
    </row>
    <row r="72" spans="2:30" x14ac:dyDescent="0.35">
      <c r="P72" s="4"/>
      <c r="Q72" s="4"/>
      <c r="R72" s="4"/>
      <c r="S72" s="4"/>
      <c r="T72" s="4"/>
    </row>
    <row r="73" spans="2:30" x14ac:dyDescent="0.35">
      <c r="P73" s="4"/>
      <c r="Q73" s="4"/>
      <c r="R73" s="4"/>
      <c r="S73" s="4"/>
      <c r="T73" s="4"/>
    </row>
    <row r="74" spans="2:30" x14ac:dyDescent="0.35">
      <c r="P74" s="4"/>
      <c r="Q74" s="4"/>
      <c r="R74" s="4"/>
      <c r="S74" s="4"/>
      <c r="T74" s="4"/>
    </row>
    <row r="75" spans="2:30" x14ac:dyDescent="0.35">
      <c r="P75" s="4"/>
      <c r="Q75" s="4"/>
      <c r="R75" s="4"/>
      <c r="S75" s="4"/>
      <c r="T75" s="4"/>
    </row>
    <row r="76" spans="2:30" x14ac:dyDescent="0.35">
      <c r="P76" s="4"/>
      <c r="Q76" s="4"/>
      <c r="R76" s="4"/>
      <c r="S76" s="4"/>
      <c r="T76" s="4"/>
    </row>
    <row r="77" spans="2:30" x14ac:dyDescent="0.35">
      <c r="P77" s="4"/>
      <c r="Q77" s="4"/>
      <c r="R77" s="4"/>
      <c r="S77" s="4"/>
      <c r="T77" s="4"/>
    </row>
    <row r="78" spans="2:30" x14ac:dyDescent="0.35">
      <c r="P78" s="4"/>
      <c r="Q78" s="4"/>
      <c r="R78" s="4"/>
      <c r="S78" s="4"/>
      <c r="T78" s="4"/>
    </row>
    <row r="79" spans="2:30" x14ac:dyDescent="0.35">
      <c r="P79" s="4"/>
      <c r="Q79" s="4"/>
      <c r="R79" s="4"/>
      <c r="S79" s="4"/>
      <c r="T79" s="4"/>
    </row>
    <row r="80" spans="2:30" x14ac:dyDescent="0.35">
      <c r="P80" s="4"/>
      <c r="Q80" s="4"/>
      <c r="R80" s="4"/>
      <c r="S80" s="4"/>
      <c r="T80" s="4"/>
    </row>
    <row r="81" spans="16:20" x14ac:dyDescent="0.35">
      <c r="P81" s="4"/>
      <c r="Q81" s="4"/>
      <c r="R81" s="4"/>
      <c r="S81" s="4"/>
      <c r="T81" s="4"/>
    </row>
    <row r="82" spans="16:20" x14ac:dyDescent="0.35">
      <c r="P82" s="4"/>
      <c r="Q82" s="4"/>
      <c r="R82" s="4"/>
      <c r="S82" s="4"/>
      <c r="T82" s="4"/>
    </row>
    <row r="83" spans="16:20" x14ac:dyDescent="0.35">
      <c r="P83" s="4"/>
      <c r="Q83" s="4"/>
      <c r="R83" s="4"/>
      <c r="S83" s="4"/>
      <c r="T83" s="4"/>
    </row>
    <row r="84" spans="16:20" x14ac:dyDescent="0.35">
      <c r="P84" s="4"/>
      <c r="Q84" s="4"/>
      <c r="R84" s="4"/>
      <c r="S84" s="4"/>
      <c r="T84" s="4"/>
    </row>
    <row r="85" spans="16:20" x14ac:dyDescent="0.35">
      <c r="P85" s="4"/>
      <c r="Q85" s="4"/>
      <c r="R85" s="4"/>
      <c r="S85" s="4"/>
      <c r="T85" s="4"/>
    </row>
  </sheetData>
  <mergeCells count="8">
    <mergeCell ref="E2:F2"/>
    <mergeCell ref="H2:I2"/>
    <mergeCell ref="K2:L2"/>
    <mergeCell ref="C35:D35"/>
    <mergeCell ref="B36:D36"/>
    <mergeCell ref="C32:D32"/>
    <mergeCell ref="C33:D33"/>
    <mergeCell ref="C34:D34"/>
  </mergeCells>
  <conditionalFormatting sqref="G5 J5 M5:N5 M9:N9 M13:N13 M17:N17 M21:N21 F23:F30 I23:I28 L23:L28">
    <cfRule type="cellIs" dxfId="21" priority="24" operator="equal">
      <formula>0</formula>
    </cfRule>
  </conditionalFormatting>
  <conditionalFormatting sqref="G9 J9">
    <cfRule type="cellIs" dxfId="20" priority="19" operator="equal">
      <formula>0</formula>
    </cfRule>
  </conditionalFormatting>
  <conditionalFormatting sqref="L5">
    <cfRule type="cellIs" dxfId="19" priority="22" operator="equal">
      <formula>0</formula>
    </cfRule>
  </conditionalFormatting>
  <conditionalFormatting sqref="I5">
    <cfRule type="cellIs" dxfId="18" priority="21" operator="equal">
      <formula>0</formula>
    </cfRule>
  </conditionalFormatting>
  <conditionalFormatting sqref="F5">
    <cfRule type="cellIs" dxfId="17" priority="20" operator="equal">
      <formula>0</formula>
    </cfRule>
  </conditionalFormatting>
  <conditionalFormatting sqref="L9">
    <cfRule type="cellIs" dxfId="16" priority="18" operator="equal">
      <formula>0</formula>
    </cfRule>
  </conditionalFormatting>
  <conditionalFormatting sqref="I9">
    <cfRule type="cellIs" dxfId="15" priority="17" operator="equal">
      <formula>0</formula>
    </cfRule>
  </conditionalFormatting>
  <conditionalFormatting sqref="F9">
    <cfRule type="cellIs" dxfId="14" priority="16" operator="equal">
      <formula>0</formula>
    </cfRule>
  </conditionalFormatting>
  <conditionalFormatting sqref="G13 J13">
    <cfRule type="cellIs" dxfId="13" priority="15" operator="equal">
      <formula>0</formula>
    </cfRule>
  </conditionalFormatting>
  <conditionalFormatting sqref="L13">
    <cfRule type="cellIs" dxfId="12" priority="14" operator="equal">
      <formula>0</formula>
    </cfRule>
  </conditionalFormatting>
  <conditionalFormatting sqref="I13">
    <cfRule type="cellIs" dxfId="11" priority="13" operator="equal">
      <formula>0</formula>
    </cfRule>
  </conditionalFormatting>
  <conditionalFormatting sqref="F13">
    <cfRule type="cellIs" dxfId="10" priority="12" operator="equal">
      <formula>0</formula>
    </cfRule>
  </conditionalFormatting>
  <conditionalFormatting sqref="G17 J17">
    <cfRule type="cellIs" dxfId="9" priority="11" operator="equal">
      <formula>0</formula>
    </cfRule>
  </conditionalFormatting>
  <conditionalFormatting sqref="L17">
    <cfRule type="cellIs" dxfId="8" priority="10" operator="equal">
      <formula>0</formula>
    </cfRule>
  </conditionalFormatting>
  <conditionalFormatting sqref="I17">
    <cfRule type="cellIs" dxfId="7" priority="9" operator="equal">
      <formula>0</formula>
    </cfRule>
  </conditionalFormatting>
  <conditionalFormatting sqref="F17">
    <cfRule type="cellIs" dxfId="6" priority="8" operator="equal">
      <formula>0</formula>
    </cfRule>
  </conditionalFormatting>
  <conditionalFormatting sqref="G21 J21">
    <cfRule type="cellIs" dxfId="5" priority="7" operator="equal">
      <formula>0</formula>
    </cfRule>
  </conditionalFormatting>
  <conditionalFormatting sqref="L21">
    <cfRule type="cellIs" dxfId="4" priority="6" operator="equal">
      <formula>0</formula>
    </cfRule>
  </conditionalFormatting>
  <conditionalFormatting sqref="I21">
    <cfRule type="cellIs" dxfId="3" priority="5" operator="equal">
      <formula>0</formula>
    </cfRule>
  </conditionalFormatting>
  <conditionalFormatting sqref="F21">
    <cfRule type="cellIs" dxfId="2" priority="4" operator="equal">
      <formula>0</formula>
    </cfRule>
  </conditionalFormatting>
  <conditionalFormatting sqref="I29:I30">
    <cfRule type="cellIs" dxfId="1" priority="2" operator="equal">
      <formula>0</formula>
    </cfRule>
  </conditionalFormatting>
  <conditionalFormatting sqref="L29:L30">
    <cfRule type="cellIs" dxfId="0" priority="1" operator="equal">
      <formula>0</formula>
    </cfRule>
  </conditionalFormatting>
  <dataValidations count="9">
    <dataValidation type="list" allowBlank="1" showInputMessage="1" showErrorMessage="1" sqref="C2" xr:uid="{BEE35609-9418-4D70-828C-1834A8341D97}">
      <formula1>$X$2:$X$3</formula1>
    </dataValidation>
    <dataValidation type="list" allowBlank="1" showInputMessage="1" showErrorMessage="1" sqref="C7:C9" xr:uid="{08E6BD5E-CD04-4418-85BF-8D401E2B5133}">
      <formula1>$W$2:$W$22</formula1>
    </dataValidation>
    <dataValidation type="list" allowBlank="1" showInputMessage="1" showErrorMessage="1" sqref="C3" xr:uid="{22CC0D48-E552-4692-9F62-56EF1B141886}">
      <formula1>$U$2:$U$11</formula1>
    </dataValidation>
    <dataValidation type="list" allowBlank="1" showInputMessage="1" showErrorMessage="1" sqref="C4" xr:uid="{916D962A-C408-4535-9778-0BE153612709}">
      <formula1>$V$2:$V$7</formula1>
    </dataValidation>
    <dataValidation type="list" allowBlank="1" showErrorMessage="1" prompt="Enter Start Time" sqref="F11:G12 L11:N12 I11:J12" xr:uid="{47124204-CC61-46EF-8C08-10F0A552FFB5}">
      <formula1>$R$2:$R$60</formula1>
    </dataValidation>
    <dataValidation type="list" allowBlank="1" showErrorMessage="1" prompt="Enter Start Time" sqref="F19:G20 L19:N20 I19:J20" xr:uid="{6DF1DDCE-2723-4660-A91C-5664F8080CEB}">
      <formula1>$T$2:$T$60</formula1>
    </dataValidation>
    <dataValidation type="list" allowBlank="1" showErrorMessage="1" prompt="Enter Start Time" sqref="F15:G16 L15:N16 I15:J16" xr:uid="{EF22BEF6-7B11-4AB3-94A9-46D37CBCCA3B}">
      <formula1>$S$2:$S$60</formula1>
    </dataValidation>
    <dataValidation type="list" allowBlank="1" showErrorMessage="1" prompt="Enter Start Time" sqref="F3:G4 L3:N4 I3:J4" xr:uid="{8BAD4328-9486-4119-9896-317A11AF443B}">
      <formula1>$P$2:$P$60</formula1>
    </dataValidation>
    <dataValidation type="list" allowBlank="1" showErrorMessage="1" prompt="Enter Start Time" sqref="F7:G8 L7:N8 I7:J8" xr:uid="{FE020E71-DF4E-4FD5-BC57-8E1D2344BDF5}">
      <formula1>$Q$2:$Q$60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Individuals Week</vt:lpstr>
      <vt:lpstr>Weekend Multi Centre</vt:lpstr>
      <vt:lpstr>Week Event One Centre</vt:lpstr>
      <vt:lpstr>Week Event Multi Centre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Allison</dc:creator>
  <cp:lastModifiedBy>Mark Allison</cp:lastModifiedBy>
  <dcterms:created xsi:type="dcterms:W3CDTF">2020-11-24T22:25:07Z</dcterms:created>
  <dcterms:modified xsi:type="dcterms:W3CDTF">2021-07-08T08:30:20Z</dcterms:modified>
</cp:coreProperties>
</file>